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icardo Xavier\Downloads\"/>
    </mc:Choice>
  </mc:AlternateContent>
  <xr:revisionPtr revIDLastSave="0" documentId="13_ncr:1_{BBCF9873-86C8-4FB6-8A09-66206FC70A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anol Milho" sheetId="1" r:id="rId1"/>
    <sheet name="Planilha1" sheetId="5" state="hidden" r:id="rId2"/>
    <sheet name="Etanol" sheetId="3" state="hidden" r:id="rId3"/>
    <sheet name="Hoja2" sheetId="4" state="hidden" r:id="rId4"/>
  </sheets>
  <definedNames>
    <definedName name="solver_adj" localSheetId="0" hidden="1">'Etanol Milho'!$D$21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'Etanol Milho'!$H$38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1.85</definedName>
    <definedName name="solver_ver" localSheetId="0" hidden="1">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HT5u39P9k024WZysrbNnBs29spejikmCFU0p2NvDcYI="/>
    </ext>
  </extLst>
</workbook>
</file>

<file path=xl/calcChain.xml><?xml version="1.0" encoding="utf-8"?>
<calcChain xmlns="http://schemas.openxmlformats.org/spreadsheetml/2006/main">
  <c r="AA5" i="1" l="1"/>
  <c r="AF30" i="1" s="1"/>
  <c r="AA7" i="1"/>
  <c r="AE31" i="1"/>
  <c r="AF31" i="1"/>
  <c r="AG31" i="1"/>
  <c r="AE32" i="1"/>
  <c r="AF32" i="1"/>
  <c r="AG32" i="1"/>
  <c r="AE33" i="1"/>
  <c r="AF33" i="1"/>
  <c r="AG33" i="1"/>
  <c r="AE34" i="1"/>
  <c r="AF34" i="1"/>
  <c r="AG34" i="1"/>
  <c r="AE35" i="1"/>
  <c r="AF35" i="1"/>
  <c r="AG35" i="1"/>
  <c r="AE36" i="1"/>
  <c r="AF36" i="1"/>
  <c r="AG36" i="1"/>
  <c r="AE37" i="1"/>
  <c r="AF37" i="1"/>
  <c r="AG37" i="1"/>
  <c r="AE38" i="1"/>
  <c r="AF38" i="1"/>
  <c r="AG38" i="1"/>
  <c r="AE39" i="1"/>
  <c r="AF39" i="1"/>
  <c r="AG39" i="1"/>
  <c r="AE40" i="1"/>
  <c r="AF40" i="1"/>
  <c r="AG40" i="1"/>
  <c r="AE41" i="1"/>
  <c r="AF41" i="1"/>
  <c r="AG41" i="1"/>
  <c r="AE42" i="1"/>
  <c r="AF42" i="1"/>
  <c r="AG42" i="1"/>
  <c r="AE43" i="1"/>
  <c r="AF43" i="1"/>
  <c r="AG43" i="1"/>
  <c r="AE44" i="1"/>
  <c r="AF44" i="1"/>
  <c r="AG44" i="1"/>
  <c r="AE45" i="1"/>
  <c r="AF45" i="1"/>
  <c r="AG45" i="1"/>
  <c r="AE46" i="1"/>
  <c r="AF46" i="1"/>
  <c r="AG46" i="1"/>
  <c r="AE47" i="1"/>
  <c r="AF47" i="1"/>
  <c r="AG47" i="1"/>
  <c r="AE48" i="1"/>
  <c r="AF48" i="1"/>
  <c r="AG48" i="1"/>
  <c r="AE49" i="1"/>
  <c r="AF49" i="1"/>
  <c r="AG49" i="1"/>
  <c r="AF50" i="1"/>
  <c r="O9" i="1"/>
  <c r="F31" i="1"/>
  <c r="D20" i="1"/>
  <c r="F27" i="1"/>
  <c r="F2" i="1"/>
  <c r="H2" i="1" s="1"/>
  <c r="AL31" i="1" l="1"/>
  <c r="AA11" i="1"/>
  <c r="F33" i="1"/>
  <c r="AD33" i="1" l="1"/>
  <c r="Y34" i="1"/>
  <c r="AC34" i="1" s="1"/>
  <c r="AD36" i="1"/>
  <c r="Y48" i="1"/>
  <c r="AC48" i="1" s="1"/>
  <c r="Y42" i="1"/>
  <c r="AC42" i="1" s="1"/>
  <c r="Y50" i="1"/>
  <c r="AC50" i="1" s="1"/>
  <c r="AD39" i="1"/>
  <c r="AD38" i="1"/>
  <c r="Y39" i="1"/>
  <c r="AC39" i="1" s="1"/>
  <c r="AD45" i="1"/>
  <c r="Y46" i="1"/>
  <c r="AC46" i="1" s="1"/>
  <c r="AD47" i="1"/>
  <c r="AD31" i="1"/>
  <c r="Y32" i="1"/>
  <c r="AC32" i="1" s="1"/>
  <c r="AD43" i="1"/>
  <c r="Y44" i="1"/>
  <c r="AC44" i="1" s="1"/>
  <c r="Y37" i="1"/>
  <c r="AC37" i="1" s="1"/>
  <c r="AD49" i="1"/>
  <c r="AD41" i="1"/>
  <c r="AD34" i="1"/>
  <c r="Y35" i="1"/>
  <c r="AC35" i="1" s="1"/>
  <c r="Y40" i="1"/>
  <c r="AC40" i="1" s="1"/>
  <c r="Y36" i="1"/>
  <c r="AC36" i="1" s="1"/>
  <c r="AD42" i="1"/>
  <c r="AD50" i="1"/>
  <c r="AD40" i="1"/>
  <c r="AD32" i="1"/>
  <c r="Y43" i="1"/>
  <c r="AC43" i="1" s="1"/>
  <c r="Y31" i="1"/>
  <c r="AC31" i="1" s="1"/>
  <c r="AD44" i="1"/>
  <c r="Y38" i="1"/>
  <c r="AC38" i="1" s="1"/>
  <c r="AD35" i="1"/>
  <c r="Y49" i="1"/>
  <c r="AC49" i="1" s="1"/>
  <c r="Y33" i="1"/>
  <c r="AC33" i="1" s="1"/>
  <c r="Y47" i="1"/>
  <c r="AC47" i="1" s="1"/>
  <c r="Y45" i="1"/>
  <c r="AC45" i="1" s="1"/>
  <c r="AD37" i="1"/>
  <c r="AD46" i="1"/>
  <c r="Y41" i="1"/>
  <c r="AC41" i="1" s="1"/>
  <c r="AD48" i="1"/>
  <c r="J18" i="1"/>
  <c r="M18" i="1" s="1"/>
  <c r="AA56" i="1" s="1"/>
  <c r="F30" i="1"/>
  <c r="J20" i="1"/>
  <c r="C5" i="5"/>
  <c r="E10" i="3"/>
  <c r="E9" i="3"/>
  <c r="E8" i="3"/>
  <c r="E7" i="3"/>
  <c r="E6" i="3"/>
  <c r="H6" i="3" s="1"/>
  <c r="Q5" i="3"/>
  <c r="N4" i="3" s="1"/>
  <c r="E2" i="3"/>
  <c r="Q9" i="1"/>
  <c r="E5" i="1"/>
  <c r="E13" i="1" s="1"/>
  <c r="O4" i="1"/>
  <c r="S4" i="1" s="1"/>
  <c r="I2" i="1"/>
  <c r="G6" i="5"/>
  <c r="AA65" i="1" l="1"/>
  <c r="AA61" i="1"/>
  <c r="AM31" i="1"/>
  <c r="J19" i="1"/>
  <c r="J21" i="1"/>
  <c r="C6" i="5"/>
  <c r="C7" i="5" s="1"/>
  <c r="E11" i="1"/>
  <c r="G5" i="5"/>
  <c r="G7" i="5" s="1"/>
  <c r="E12" i="1"/>
  <c r="E7" i="1"/>
  <c r="H7" i="1" s="1"/>
  <c r="K7" i="1" s="1"/>
  <c r="E15" i="1"/>
  <c r="G15" i="1" s="1"/>
  <c r="L8" i="3"/>
  <c r="Q9" i="3" s="1"/>
  <c r="E11" i="3"/>
  <c r="AL32" i="1" l="1"/>
  <c r="M19" i="1"/>
  <c r="K10" i="1"/>
  <c r="K5" i="1"/>
  <c r="E14" i="1"/>
  <c r="F12" i="1" s="1"/>
  <c r="M12" i="1" s="1"/>
  <c r="M21" i="1" s="1"/>
  <c r="AM32" i="1" l="1"/>
  <c r="M5" i="1"/>
  <c r="M7" i="1" s="1"/>
  <c r="O5" i="1"/>
  <c r="Q5" i="1" s="1"/>
  <c r="Q7" i="1" s="1"/>
  <c r="AL33" i="1" l="1"/>
  <c r="Q10" i="1"/>
  <c r="M20" i="1" s="1"/>
  <c r="O7" i="1"/>
  <c r="O10" i="1" s="1"/>
  <c r="AM33" i="1" l="1"/>
  <c r="F42" i="1"/>
  <c r="F41" i="1"/>
  <c r="F20" i="1"/>
  <c r="F28" i="1" s="1"/>
  <c r="C11" i="5"/>
  <c r="F19" i="1"/>
  <c r="S5" i="1"/>
  <c r="S7" i="1" s="1"/>
  <c r="S10" i="1" s="1"/>
  <c r="AL34" i="1" l="1"/>
  <c r="M22" i="1"/>
  <c r="G8" i="5"/>
  <c r="G10" i="5" s="1"/>
  <c r="O29" i="1"/>
  <c r="O30" i="1" s="1"/>
  <c r="O31" i="1" s="1"/>
  <c r="AM34" i="1" l="1"/>
  <c r="F25" i="1"/>
  <c r="F35" i="1" s="1"/>
  <c r="F36" i="1" s="1"/>
  <c r="AA6" i="1" s="1"/>
  <c r="AA54" i="1"/>
  <c r="P21" i="1"/>
  <c r="P19" i="1"/>
  <c r="P20" i="1"/>
  <c r="P22" i="1"/>
  <c r="G11" i="5"/>
  <c r="G13" i="5" s="1"/>
  <c r="G15" i="5" s="1"/>
  <c r="H32" i="1" l="1"/>
  <c r="F38" i="1"/>
  <c r="H38" i="1" s="1"/>
  <c r="F43" i="1"/>
  <c r="H29" i="1"/>
  <c r="H28" i="1"/>
  <c r="H30" i="1"/>
  <c r="F46" i="1"/>
  <c r="H31" i="1"/>
  <c r="H33" i="1"/>
  <c r="AA63" i="1"/>
  <c r="AA55" i="1"/>
  <c r="AA62" i="1" s="1"/>
  <c r="X39" i="1"/>
  <c r="X46" i="1"/>
  <c r="X42" i="1"/>
  <c r="X50" i="1"/>
  <c r="X32" i="1"/>
  <c r="X44" i="1"/>
  <c r="X37" i="1"/>
  <c r="X48" i="1"/>
  <c r="AA19" i="1"/>
  <c r="X35" i="1"/>
  <c r="X40" i="1"/>
  <c r="X33" i="1"/>
  <c r="X47" i="1"/>
  <c r="X34" i="1"/>
  <c r="X43" i="1"/>
  <c r="X31" i="1"/>
  <c r="X38" i="1"/>
  <c r="X49" i="1"/>
  <c r="X41" i="1"/>
  <c r="X45" i="1"/>
  <c r="X36" i="1"/>
  <c r="F44" i="1"/>
  <c r="F45" i="1"/>
  <c r="AL35" i="1"/>
  <c r="H25" i="1"/>
  <c r="H26" i="1"/>
  <c r="H27" i="1"/>
  <c r="AA64" i="1" l="1"/>
  <c r="AA10" i="1" s="1"/>
  <c r="AO34" i="1" s="1"/>
  <c r="Z37" i="1"/>
  <c r="AU37" i="1"/>
  <c r="Z44" i="1"/>
  <c r="AU44" i="1"/>
  <c r="Z39" i="1"/>
  <c r="AU39" i="1"/>
  <c r="AU45" i="1"/>
  <c r="Z45" i="1"/>
  <c r="Z35" i="1"/>
  <c r="AU35" i="1"/>
  <c r="Z36" i="1"/>
  <c r="AU36" i="1"/>
  <c r="Z48" i="1"/>
  <c r="AU48" i="1"/>
  <c r="Z41" i="1"/>
  <c r="AU41" i="1"/>
  <c r="AU49" i="1"/>
  <c r="Z49" i="1"/>
  <c r="Z38" i="1"/>
  <c r="AU38" i="1"/>
  <c r="Z32" i="1"/>
  <c r="AU32" i="1"/>
  <c r="Z31" i="1"/>
  <c r="AU31" i="1"/>
  <c r="AU50" i="1"/>
  <c r="Z50" i="1"/>
  <c r="AU43" i="1"/>
  <c r="Z43" i="1"/>
  <c r="Z42" i="1"/>
  <c r="AU42" i="1"/>
  <c r="Z34" i="1"/>
  <c r="AU34" i="1"/>
  <c r="Z46" i="1"/>
  <c r="AU46" i="1"/>
  <c r="AU47" i="1"/>
  <c r="Z47" i="1"/>
  <c r="AM35" i="1"/>
  <c r="Z33" i="1"/>
  <c r="AU33" i="1"/>
  <c r="Z40" i="1"/>
  <c r="AU40" i="1"/>
  <c r="I26" i="1"/>
  <c r="I28" i="1"/>
  <c r="AO33" i="1" l="1"/>
  <c r="AN32" i="1"/>
  <c r="AO31" i="1"/>
  <c r="AN31" i="1"/>
  <c r="AN35" i="1"/>
  <c r="AE30" i="1"/>
  <c r="AH30" i="1" s="1"/>
  <c r="AJ30" i="1" s="1"/>
  <c r="AK30" i="1" s="1"/>
  <c r="AE50" i="1"/>
  <c r="AN34" i="1"/>
  <c r="AQ34" i="1" s="1"/>
  <c r="AN33" i="1"/>
  <c r="AO32" i="1"/>
  <c r="AQ32" i="1" s="1"/>
  <c r="AA35" i="1"/>
  <c r="AB35" i="1" s="1"/>
  <c r="AH35" i="1" s="1"/>
  <c r="AJ35" i="1" s="1"/>
  <c r="AA45" i="1"/>
  <c r="AB45" i="1" s="1"/>
  <c r="AH45" i="1" s="1"/>
  <c r="AJ45" i="1" s="1"/>
  <c r="AA49" i="1"/>
  <c r="AB49" i="1" s="1"/>
  <c r="AH49" i="1" s="1"/>
  <c r="AJ49" i="1" s="1"/>
  <c r="AA47" i="1"/>
  <c r="AB47" i="1" s="1"/>
  <c r="AH47" i="1" s="1"/>
  <c r="AJ47" i="1" s="1"/>
  <c r="AA31" i="1"/>
  <c r="AB31" i="1" s="1"/>
  <c r="AA32" i="1"/>
  <c r="AB32" i="1" s="1"/>
  <c r="AH32" i="1" s="1"/>
  <c r="AJ32" i="1" s="1"/>
  <c r="AA38" i="1"/>
  <c r="AB38" i="1" s="1"/>
  <c r="AH38" i="1" s="1"/>
  <c r="AJ38" i="1" s="1"/>
  <c r="AA39" i="1"/>
  <c r="AB39" i="1" s="1"/>
  <c r="AH39" i="1" s="1"/>
  <c r="AJ39" i="1" s="1"/>
  <c r="AA33" i="1"/>
  <c r="AB33" i="1" s="1"/>
  <c r="AH33" i="1" s="1"/>
  <c r="AJ33" i="1" s="1"/>
  <c r="AA41" i="1"/>
  <c r="AB41" i="1" s="1"/>
  <c r="AH41" i="1" s="1"/>
  <c r="AJ41" i="1" s="1"/>
  <c r="AA44" i="1"/>
  <c r="AB44" i="1" s="1"/>
  <c r="AH44" i="1" s="1"/>
  <c r="AJ44" i="1" s="1"/>
  <c r="AA36" i="1"/>
  <c r="AB36" i="1" s="1"/>
  <c r="AH36" i="1" s="1"/>
  <c r="AJ36" i="1" s="1"/>
  <c r="AA46" i="1"/>
  <c r="AB46" i="1" s="1"/>
  <c r="AH46" i="1" s="1"/>
  <c r="AJ46" i="1" s="1"/>
  <c r="AA34" i="1"/>
  <c r="AB34" i="1" s="1"/>
  <c r="AH34" i="1" s="1"/>
  <c r="AJ34" i="1" s="1"/>
  <c r="AA42" i="1"/>
  <c r="AB42" i="1" s="1"/>
  <c r="AH42" i="1" s="1"/>
  <c r="AJ42" i="1" s="1"/>
  <c r="AA43" i="1"/>
  <c r="AB43" i="1" s="1"/>
  <c r="AH43" i="1" s="1"/>
  <c r="AJ43" i="1" s="1"/>
  <c r="AA40" i="1"/>
  <c r="AB40" i="1" s="1"/>
  <c r="AH40" i="1" s="1"/>
  <c r="AJ40" i="1" s="1"/>
  <c r="AA50" i="1"/>
  <c r="AB50" i="1" s="1"/>
  <c r="AL36" i="1"/>
  <c r="AO35" i="1"/>
  <c r="AQ35" i="1" s="1"/>
  <c r="AA48" i="1"/>
  <c r="AB48" i="1" s="1"/>
  <c r="AH48" i="1" s="1"/>
  <c r="AJ48" i="1" s="1"/>
  <c r="AA37" i="1"/>
  <c r="AB37" i="1" s="1"/>
  <c r="AH37" i="1" s="1"/>
  <c r="AJ37" i="1" s="1"/>
  <c r="C8" i="5"/>
  <c r="C10" i="5" s="1"/>
  <c r="C13" i="5" s="1"/>
  <c r="C15" i="5" s="1"/>
  <c r="AQ33" i="1" l="1"/>
  <c r="AQ31" i="1"/>
  <c r="AA21" i="1" s="1"/>
  <c r="AI30" i="1"/>
  <c r="AT32" i="1"/>
  <c r="AP35" i="1"/>
  <c r="AT35" i="1"/>
  <c r="AH31" i="1"/>
  <c r="AP31" i="1"/>
  <c r="AA20" i="1" s="1"/>
  <c r="AT31" i="1"/>
  <c r="AA22" i="1" s="1"/>
  <c r="F48" i="1" s="1"/>
  <c r="AI31" i="1"/>
  <c r="AI32" i="1" s="1"/>
  <c r="AI33" i="1" s="1"/>
  <c r="AI34" i="1" s="1"/>
  <c r="AI35" i="1" s="1"/>
  <c r="AI36" i="1" s="1"/>
  <c r="AI37" i="1" s="1"/>
  <c r="AI38" i="1" s="1"/>
  <c r="AI39" i="1" s="1"/>
  <c r="AI40" i="1" s="1"/>
  <c r="AI41" i="1" s="1"/>
  <c r="AI42" i="1" s="1"/>
  <c r="AI43" i="1" s="1"/>
  <c r="AI44" i="1" s="1"/>
  <c r="AI45" i="1" s="1"/>
  <c r="AI46" i="1" s="1"/>
  <c r="AI47" i="1" s="1"/>
  <c r="AI48" i="1" s="1"/>
  <c r="AI49" i="1" s="1"/>
  <c r="AR31" i="1"/>
  <c r="AN36" i="1"/>
  <c r="AM36" i="1"/>
  <c r="AP33" i="1"/>
  <c r="AP34" i="1"/>
  <c r="AT34" i="1"/>
  <c r="AT33" i="1"/>
  <c r="AP32" i="1"/>
  <c r="AO36" i="1" l="1"/>
  <c r="AQ36" i="1" s="1"/>
  <c r="AL37" i="1"/>
  <c r="AR32" i="1"/>
  <c r="AJ31" i="1"/>
  <c r="AK31" i="1" s="1"/>
  <c r="AT36" i="1" l="1"/>
  <c r="AP36" i="1"/>
  <c r="AK32" i="1"/>
  <c r="AK33" i="1" s="1"/>
  <c r="AK34" i="1" s="1"/>
  <c r="AK35" i="1" s="1"/>
  <c r="AK36" i="1" s="1"/>
  <c r="AK37" i="1" s="1"/>
  <c r="AK38" i="1" s="1"/>
  <c r="AK39" i="1" s="1"/>
  <c r="AK40" i="1" s="1"/>
  <c r="AK41" i="1" s="1"/>
  <c r="AK42" i="1" s="1"/>
  <c r="AK43" i="1" s="1"/>
  <c r="AK44" i="1" s="1"/>
  <c r="AK45" i="1" s="1"/>
  <c r="AK46" i="1" s="1"/>
  <c r="AK47" i="1" s="1"/>
  <c r="AK48" i="1" s="1"/>
  <c r="AK49" i="1" s="1"/>
  <c r="AS31" i="1"/>
  <c r="AR33" i="1"/>
  <c r="AM37" i="1"/>
  <c r="AN37" i="1"/>
  <c r="AR34" i="1" l="1"/>
  <c r="AO37" i="1"/>
  <c r="AQ37" i="1" s="1"/>
  <c r="AL38" i="1"/>
  <c r="AS32" i="1"/>
  <c r="AP37" i="1" l="1"/>
  <c r="AT37" i="1"/>
  <c r="AS33" i="1"/>
  <c r="AM38" i="1"/>
  <c r="AN38" i="1"/>
  <c r="AR35" i="1"/>
  <c r="AL39" i="1" l="1"/>
  <c r="AO38" i="1"/>
  <c r="AQ38" i="1" s="1"/>
  <c r="AR36" i="1"/>
  <c r="AS34" i="1"/>
  <c r="AR37" i="1" l="1"/>
  <c r="AN39" i="1"/>
  <c r="AM39" i="1"/>
  <c r="AP38" i="1"/>
  <c r="AS35" i="1"/>
  <c r="AT38" i="1"/>
  <c r="AR38" i="1" l="1"/>
  <c r="AR39" i="1" s="1"/>
  <c r="AO39" i="1"/>
  <c r="AT39" i="1" s="1"/>
  <c r="AL40" i="1"/>
  <c r="AS36" i="1"/>
  <c r="AQ39" i="1" l="1"/>
  <c r="AP39" i="1"/>
  <c r="AM40" i="1"/>
  <c r="AN40" i="1"/>
  <c r="AR40" i="1"/>
  <c r="AR41" i="1" s="1"/>
  <c r="AR42" i="1" s="1"/>
  <c r="AR43" i="1" s="1"/>
  <c r="AR44" i="1" s="1"/>
  <c r="AR45" i="1" s="1"/>
  <c r="AR46" i="1" s="1"/>
  <c r="AR47" i="1" s="1"/>
  <c r="AS37" i="1"/>
  <c r="AS38" i="1" s="1"/>
  <c r="AS39" i="1" s="1"/>
  <c r="AR48" i="1" l="1"/>
  <c r="AR49" i="1" s="1"/>
  <c r="AS40" i="1"/>
  <c r="AS41" i="1" s="1"/>
  <c r="AS42" i="1" s="1"/>
  <c r="AS43" i="1" s="1"/>
  <c r="AS44" i="1" s="1"/>
  <c r="AS45" i="1" s="1"/>
  <c r="AS46" i="1" s="1"/>
  <c r="AS47" i="1" s="1"/>
  <c r="AS48" i="1" s="1"/>
  <c r="AS49" i="1" s="1"/>
  <c r="AL41" i="1"/>
  <c r="AO40" i="1"/>
  <c r="AQ40" i="1" s="1"/>
  <c r="AN41" i="1" l="1"/>
  <c r="AM41" i="1"/>
  <c r="AP40" i="1"/>
  <c r="AT40" i="1"/>
  <c r="AL42" i="1" l="1"/>
  <c r="AO41" i="1"/>
  <c r="AQ41" i="1" s="1"/>
  <c r="AP41" i="1" l="1"/>
  <c r="AT41" i="1"/>
  <c r="AN42" i="1"/>
  <c r="AM42" i="1"/>
  <c r="AO42" i="1" l="1"/>
  <c r="AT42" i="1" s="1"/>
  <c r="AL43" i="1"/>
  <c r="AQ42" i="1" l="1"/>
  <c r="AP42" i="1"/>
  <c r="AN43" i="1"/>
  <c r="AM43" i="1"/>
  <c r="AL44" i="1" l="1"/>
  <c r="AO43" i="1"/>
  <c r="AT43" i="1" s="1"/>
  <c r="AQ43" i="1" l="1"/>
  <c r="AM44" i="1"/>
  <c r="AN44" i="1"/>
  <c r="AP43" i="1"/>
  <c r="AO44" i="1" l="1"/>
  <c r="AQ44" i="1" s="1"/>
  <c r="AL45" i="1"/>
  <c r="AT44" i="1" l="1"/>
  <c r="AN45" i="1"/>
  <c r="AM45" i="1"/>
  <c r="AP44" i="1"/>
  <c r="AL46" i="1" l="1"/>
  <c r="AO45" i="1"/>
  <c r="AT45" i="1" s="1"/>
  <c r="AQ45" i="1" l="1"/>
  <c r="AP45" i="1"/>
  <c r="AM46" i="1"/>
  <c r="AN46" i="1"/>
  <c r="AO46" i="1" l="1"/>
  <c r="AQ46" i="1" s="1"/>
  <c r="AL47" i="1"/>
  <c r="AP46" i="1" l="1"/>
  <c r="AT46" i="1"/>
  <c r="AM47" i="1"/>
  <c r="AN47" i="1"/>
  <c r="AL48" i="1" l="1"/>
  <c r="AO47" i="1"/>
  <c r="AQ47" i="1" s="1"/>
  <c r="AM48" i="1" l="1"/>
  <c r="AN48" i="1"/>
  <c r="AP47" i="1"/>
  <c r="AT47" i="1"/>
  <c r="AO48" i="1" l="1"/>
  <c r="AT48" i="1" s="1"/>
  <c r="AL49" i="1"/>
  <c r="AQ48" i="1" l="1"/>
  <c r="AN49" i="1"/>
  <c r="AM49" i="1"/>
  <c r="AP48" i="1"/>
  <c r="AO49" i="1" l="1"/>
  <c r="AQ49" i="1" s="1"/>
  <c r="AL50" i="1"/>
  <c r="AM50" i="1" l="1"/>
  <c r="AN50" i="1"/>
  <c r="AP49" i="1"/>
  <c r="AT49" i="1"/>
  <c r="AG50" i="1" l="1"/>
  <c r="AH50" i="1" s="1"/>
  <c r="AO50" i="1"/>
  <c r="AQ50" i="1" s="1"/>
  <c r="AJ50" i="1" l="1"/>
  <c r="AK50" i="1" s="1"/>
  <c r="AS50" i="1" s="1"/>
  <c r="AA18" i="1" s="1"/>
  <c r="F40" i="1" s="1"/>
  <c r="AA75" i="1"/>
  <c r="AA73" i="1"/>
  <c r="AA74" i="1"/>
  <c r="AI50" i="1"/>
  <c r="AR50" i="1" s="1"/>
  <c r="AA17" i="1" s="1"/>
  <c r="F39" i="1" s="1"/>
  <c r="AA16" i="1"/>
  <c r="F49" i="1" s="1"/>
  <c r="AA76" i="1"/>
  <c r="AA15" i="1"/>
  <c r="F51" i="1" s="1"/>
  <c r="AT50" i="1"/>
  <c r="AP50" i="1"/>
  <c r="AA80" i="1"/>
  <c r="F57" i="1"/>
  <c r="F56" i="1"/>
  <c r="F55" i="1"/>
  <c r="F50" i="1"/>
  <c r="D23" i="1" l="1"/>
  <c r="AA81" i="1"/>
  <c r="F52" i="1" s="1"/>
  <c r="AA82" i="1" l="1"/>
  <c r="F53" i="1" s="1"/>
  <c r="AA83" i="1" l="1"/>
  <c r="F54" i="1" s="1"/>
</calcChain>
</file>

<file path=xl/sharedStrings.xml><?xml version="1.0" encoding="utf-8"?>
<sst xmlns="http://schemas.openxmlformats.org/spreadsheetml/2006/main" count="308" uniqueCount="217">
  <si>
    <t>área plantada =</t>
  </si>
  <si>
    <t>ha</t>
  </si>
  <si>
    <t>Etapa 1</t>
  </si>
  <si>
    <t>Etapa 2</t>
  </si>
  <si>
    <t>MUS$</t>
  </si>
  <si>
    <t>MUS$/ano</t>
  </si>
  <si>
    <t>Moagem =</t>
  </si>
  <si>
    <t>Amido</t>
  </si>
  <si>
    <t>+</t>
  </si>
  <si>
    <t>Água</t>
  </si>
  <si>
    <t>-----&gt;</t>
  </si>
  <si>
    <t>Glucose</t>
  </si>
  <si>
    <t xml:space="preserve">Álcool </t>
  </si>
  <si>
    <t>Gás Carbônico</t>
  </si>
  <si>
    <r>
      <rPr>
        <sz val="11"/>
        <color theme="1"/>
        <rFont val="Calibri"/>
        <family val="2"/>
      </rPr>
      <t>C</t>
    </r>
    <r>
      <rPr>
        <vertAlign val="subscript"/>
        <sz val="8"/>
        <color theme="1"/>
        <rFont val="Calibri"/>
        <family val="2"/>
      </rPr>
      <t>6</t>
    </r>
    <r>
      <rPr>
        <sz val="11"/>
        <color theme="1"/>
        <rFont val="Calibri"/>
        <family val="2"/>
      </rPr>
      <t>H</t>
    </r>
    <r>
      <rPr>
        <vertAlign val="subscript"/>
        <sz val="8"/>
        <color theme="1"/>
        <rFont val="Calibri"/>
        <family val="2"/>
      </rPr>
      <t>10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5</t>
    </r>
  </si>
  <si>
    <r>
      <rPr>
        <sz val="11"/>
        <color theme="1"/>
        <rFont val="Calibri"/>
        <family val="2"/>
      </rPr>
      <t>H</t>
    </r>
    <r>
      <rPr>
        <vertAlign val="subscript"/>
        <sz val="8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</si>
  <si>
    <r>
      <rPr>
        <sz val="11"/>
        <color theme="1"/>
        <rFont val="Calibri"/>
        <family val="2"/>
      </rPr>
      <t>C</t>
    </r>
    <r>
      <rPr>
        <vertAlign val="subscript"/>
        <sz val="8"/>
        <color theme="1"/>
        <rFont val="Calibri"/>
        <family val="2"/>
      </rPr>
      <t>6</t>
    </r>
    <r>
      <rPr>
        <sz val="11"/>
        <color theme="1"/>
        <rFont val="Calibri"/>
        <family val="2"/>
      </rPr>
      <t>H</t>
    </r>
    <r>
      <rPr>
        <vertAlign val="subscript"/>
        <sz val="8"/>
        <color theme="1"/>
        <rFont val="Calibri"/>
        <family val="2"/>
      </rPr>
      <t>12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6</t>
    </r>
  </si>
  <si>
    <r>
      <rPr>
        <sz val="11"/>
        <color theme="1"/>
        <rFont val="Calibri"/>
        <family val="2"/>
      </rPr>
      <t>2 H</t>
    </r>
    <r>
      <rPr>
        <vertAlign val="subscript"/>
        <sz val="8"/>
        <color theme="1"/>
        <rFont val="Calibri"/>
        <family val="2"/>
      </rPr>
      <t>3</t>
    </r>
    <r>
      <rPr>
        <sz val="11"/>
        <color theme="1"/>
        <rFont val="Calibri"/>
        <family val="2"/>
      </rPr>
      <t>C-CH</t>
    </r>
    <r>
      <rPr>
        <vertAlign val="subscript"/>
        <sz val="8"/>
        <color theme="1"/>
        <rFont val="Calibri"/>
        <family val="2"/>
      </rPr>
      <t>2</t>
    </r>
    <r>
      <rPr>
        <sz val="11"/>
        <color theme="1"/>
        <rFont val="Calibri"/>
        <family val="2"/>
      </rPr>
      <t>-OH</t>
    </r>
  </si>
  <si>
    <r>
      <rPr>
        <sz val="11"/>
        <color theme="1"/>
        <rFont val="Calibri"/>
        <family val="2"/>
      </rPr>
      <t>2 CO</t>
    </r>
    <r>
      <rPr>
        <vertAlign val="subscript"/>
        <sz val="8"/>
        <color theme="1"/>
        <rFont val="Calibri"/>
        <family val="2"/>
      </rPr>
      <t>2</t>
    </r>
  </si>
  <si>
    <t>Umidade =</t>
  </si>
  <si>
    <t>Amido =</t>
  </si>
  <si>
    <t>t base seca</t>
  </si>
  <si>
    <t>Rendimento</t>
  </si>
  <si>
    <t>Casca =</t>
  </si>
  <si>
    <t>Proteina  =</t>
  </si>
  <si>
    <t>DDGS</t>
  </si>
  <si>
    <t>t @</t>
  </si>
  <si>
    <t>Germe =</t>
  </si>
  <si>
    <t>Outros =</t>
  </si>
  <si>
    <t>(Distillers Dried Grains with Solubles)</t>
  </si>
  <si>
    <t>Óleo =</t>
  </si>
  <si>
    <t>t</t>
  </si>
  <si>
    <t>Milho</t>
  </si>
  <si>
    <t>=</t>
  </si>
  <si>
    <t>R$/saca</t>
  </si>
  <si>
    <t>US$/t</t>
  </si>
  <si>
    <t>´------&gt;</t>
  </si>
  <si>
    <t>Preço de Venda ESALQ =</t>
  </si>
  <si>
    <t>R$/L</t>
  </si>
  <si>
    <t>Óleo</t>
  </si>
  <si>
    <t>Álcool</t>
  </si>
  <si>
    <r>
      <rPr>
        <sz val="11"/>
        <color theme="1"/>
        <rFont val="Calibri"/>
        <family val="2"/>
      </rPr>
      <t>US$/m</t>
    </r>
    <r>
      <rPr>
        <vertAlign val="superscript"/>
        <sz val="11"/>
        <color theme="1"/>
        <rFont val="Calibri"/>
        <family val="2"/>
      </rPr>
      <t>3</t>
    </r>
  </si>
  <si>
    <t xml:space="preserve">R$/L </t>
  </si>
  <si>
    <r>
      <rPr>
        <b/>
        <sz val="11"/>
        <color rgb="FF0070C0"/>
        <rFont val="Calibri"/>
        <family val="2"/>
      </rPr>
      <t>CO</t>
    </r>
    <r>
      <rPr>
        <b/>
        <vertAlign val="subscript"/>
        <sz val="11"/>
        <color rgb="FF0070C0"/>
        <rFont val="Calibri"/>
        <family val="2"/>
      </rPr>
      <t>2</t>
    </r>
  </si>
  <si>
    <t>TIR =</t>
  </si>
  <si>
    <t>Milho =</t>
  </si>
  <si>
    <t>Energia Termica =</t>
  </si>
  <si>
    <t>(Milho + Energia)</t>
  </si>
  <si>
    <t>Energia Eletrica =</t>
  </si>
  <si>
    <t>MDO =</t>
  </si>
  <si>
    <t>(Milho + Energia + MDO)</t>
  </si>
  <si>
    <t>funcionários</t>
  </si>
  <si>
    <t>Produto Quimico e Enzimas =</t>
  </si>
  <si>
    <t>kUSD/funcionário</t>
  </si>
  <si>
    <t>Tratamento Efluente e Água =</t>
  </si>
  <si>
    <t>kR$/funcionário (já com custo encargos)</t>
  </si>
  <si>
    <t>Manutenção =</t>
  </si>
  <si>
    <t>kR$/funcionário (salário líquido)</t>
  </si>
  <si>
    <t>Custo Total=</t>
  </si>
  <si>
    <t>R$/t</t>
  </si>
  <si>
    <t>Sorbitol</t>
  </si>
  <si>
    <t>Dextrose</t>
  </si>
  <si>
    <t>Jarabe Comercial</t>
  </si>
  <si>
    <t>Humidad</t>
  </si>
  <si>
    <t>Maltose</t>
  </si>
  <si>
    <t>Almidon</t>
  </si>
  <si>
    <t>Casca</t>
  </si>
  <si>
    <t>Almidon Natural</t>
  </si>
  <si>
    <t xml:space="preserve">Proteina </t>
  </si>
  <si>
    <t>Almidon Comercial</t>
  </si>
  <si>
    <t>Aceite</t>
  </si>
  <si>
    <t>Almidon Modificado</t>
  </si>
  <si>
    <t>Germen</t>
  </si>
  <si>
    <t>Otros</t>
  </si>
  <si>
    <t>Cana</t>
  </si>
  <si>
    <t>t/ano</t>
  </si>
  <si>
    <t>R$/ano</t>
  </si>
  <si>
    <t>Custos Operativos</t>
  </si>
  <si>
    <t>Custos Totais</t>
  </si>
  <si>
    <t>USD/ano</t>
  </si>
  <si>
    <t>MUSD/ano</t>
  </si>
  <si>
    <t>Cana de Açúcar</t>
  </si>
  <si>
    <t>Custo Operacional =</t>
  </si>
  <si>
    <t>Receitas Totais</t>
  </si>
  <si>
    <t>Preço de Venta - Custo Operacional =</t>
  </si>
  <si>
    <t>Dólar =</t>
  </si>
  <si>
    <t>R$/USD</t>
  </si>
  <si>
    <t>Investimento =</t>
  </si>
  <si>
    <t>dm³ Eth/t milho</t>
  </si>
  <si>
    <t>Rendimento =</t>
  </si>
  <si>
    <t>%</t>
  </si>
  <si>
    <t>Eficiência MDO =</t>
  </si>
  <si>
    <t>m³ Eth/funcionário</t>
  </si>
  <si>
    <t>Lucratividade =</t>
  </si>
  <si>
    <t>USD/m³ Eth</t>
  </si>
  <si>
    <t>Rendimento Agrário =</t>
  </si>
  <si>
    <t>USD/ha</t>
  </si>
  <si>
    <t>Custo Relativo =</t>
  </si>
  <si>
    <t>R$/l</t>
  </si>
  <si>
    <t>US$/l -------&gt;</t>
  </si>
  <si>
    <t>Impostos =</t>
  </si>
  <si>
    <t>Custo Fixo =</t>
  </si>
  <si>
    <t>ETANOL DE MILHO | RETORNO FINANCEIRO REVISADO</t>
  </si>
  <si>
    <t>Cenário sem financiamento: 100% capital próprio, sem juros e distribuição integral do caixa disponível. ROE não representa cenário alavancado.</t>
  </si>
  <si>
    <t>Investimento inicial</t>
  </si>
  <si>
    <t>Resultado operacional anual</t>
  </si>
  <si>
    <t>Imposto sobre lucro</t>
  </si>
  <si>
    <t>Vida depreciável</t>
  </si>
  <si>
    <t>anos; depreciação linear, valor contábil residual zero</t>
  </si>
  <si>
    <t>Taxa de desconto</t>
  </si>
  <si>
    <t>10% ilustrativo editável; mesma moeda e base dos fluxos</t>
  </si>
  <si>
    <t>Capital de giro inicial</t>
  </si>
  <si>
    <t>Calculado pelo ciclo operacional abaixo; recuperação no ano 20</t>
  </si>
  <si>
    <t>Reinvestimento anual</t>
  </si>
  <si>
    <t>Reposição capitalizável; hipótese exploratória de 1% do CAPEX ao ano; validar pelo plano de ativos</t>
  </si>
  <si>
    <t>Valor de venda final</t>
  </si>
  <si>
    <t>US$ milhões; tributação simplificada sobre ganho contábil no ano 20</t>
  </si>
  <si>
    <t>TIR do projeto</t>
  </si>
  <si>
    <t>Fluxo do projeto = EBIT − imposto operacional + depreciação − reinvestimentos − variação de capital de giro + venda final líquida de imposto. Sem dívida: lucro líquido = NOPAT e fluxo ao acionista = fluxo do projeto.</t>
  </si>
  <si>
    <t>VPL do projeto</t>
  </si>
  <si>
    <t>Payback simples (anos)</t>
  </si>
  <si>
    <t>Payback descontado (anos)</t>
  </si>
  <si>
    <t>Retorno operacional / CAPEX</t>
  </si>
  <si>
    <t>ROCE e ROIC usam ativo fixo líquido contábil + capital de giro médio. ROE usa patrimônio médio, igual ao capital empregado neste cenário sem dívida e com distribuição integral. Após depreciação total, denominador zero gera “Não aplicável”. Reposições são capitalizadas e depreciadas a partir do ano seguinte, na mesma vida útil; sem baixas antecipadas de ativos substituídos.</t>
  </si>
  <si>
    <t>ROE ano 1 (capital próprio médio)</t>
  </si>
  <si>
    <t>ROCE ano 1 (capital empregado médio)</t>
  </si>
  <si>
    <t>ROIC ano 1 (capital investido médio)</t>
  </si>
  <si>
    <t>Azul / amarelo = premissas editáveis. Imposto é hipótese matemática do arquivo, sem validação fiscal. Fluxos em dólares constantes; taxa real em USD. Sem construção ou rampa; tributação simplificada.</t>
  </si>
  <si>
    <t>Payback usa primeira recuperação do caixa acumulado, com interpolação linear. VPL e TIR usam 20 fluxos anuais mais investimento no ano zero.</t>
  </si>
  <si>
    <t>Não recupera em 20 anos = ausência de cruzamento no horizonte. A TIR e o VPL prevalecem quando há desembolsos posteriores ao primeiro retorno.</t>
  </si>
  <si>
    <t>Ano</t>
  </si>
  <si>
    <t>Resultado operacional</t>
  </si>
  <si>
    <t>Depreciação</t>
  </si>
  <si>
    <t>EBIT</t>
  </si>
  <si>
    <t>Imposto operacional</t>
  </si>
  <si>
    <t>NOPAT / lucro líquido</t>
  </si>
  <si>
    <t>Deprec. adicionada</t>
  </si>
  <si>
    <t>Reinvestimento</t>
  </si>
  <si>
    <t>Δ capital de giro</t>
  </si>
  <si>
    <t>CAPEX inicial</t>
  </si>
  <si>
    <t>Venda final líquida</t>
  </si>
  <si>
    <t>FCFF / FCFE</t>
  </si>
  <si>
    <t>Caixa acumulado</t>
  </si>
  <si>
    <t>Fluxo descontado</t>
  </si>
  <si>
    <t>Acum. descontado</t>
  </si>
  <si>
    <t>Ativo fixo inicial</t>
  </si>
  <si>
    <t>Ativo fixo final</t>
  </si>
  <si>
    <t>Capital inicial</t>
  </si>
  <si>
    <t>Capital final</t>
  </si>
  <si>
    <t>ROE</t>
  </si>
  <si>
    <t>ROCE</t>
  </si>
  <si>
    <t>Payback simples</t>
  </si>
  <si>
    <t>Payback descontado</t>
  </si>
  <si>
    <t>ROIC</t>
  </si>
  <si>
    <t>Retorno / CAPEX inicial</t>
  </si>
  <si>
    <t>CAPITAL DE GIRO E REPOSIÇÕES | bases anuais e prazos editáveis</t>
  </si>
  <si>
    <t>Receita anual total</t>
  </si>
  <si>
    <t>Custo anual de caixa</t>
  </si>
  <si>
    <t>US$ milhões; receita menos resultado operacional informado</t>
  </si>
  <si>
    <t>Compras anuais de milho</t>
  </si>
  <si>
    <t>US$ milhões; base de fornecedores apenas milho</t>
  </si>
  <si>
    <t>Dias de milho em estoque</t>
  </si>
  <si>
    <t>Hipótese central editável; testar 15 / 30 / 60 dias</t>
  </si>
  <si>
    <t>Dias de produtos acabados</t>
  </si>
  <si>
    <t>Hipótese central editável; testar 5 / 10 / 15 dias; custo de caixa como aproximação</t>
  </si>
  <si>
    <t>Dias de clientes</t>
  </si>
  <si>
    <t>Hipótese central editável; testar 15 / 30 / 45 dias</t>
  </si>
  <si>
    <t>Dias de fornecedores de milho</t>
  </si>
  <si>
    <t>Hipótese central editável; testar 15 / 30 / 45 dias; demais fornecedores não incluídos</t>
  </si>
  <si>
    <t>Estoque de milho</t>
  </si>
  <si>
    <t>US$ milhões; milho comprado</t>
  </si>
  <si>
    <t>Produtos acabados</t>
  </si>
  <si>
    <t>US$ milhões; aproximação pelo custo de caixa total</t>
  </si>
  <si>
    <t>Contas a receber</t>
  </si>
  <si>
    <t>US$ milhões; receita anual total</t>
  </si>
  <si>
    <t>US$ milhões; estoques + clientes − fornecedores, mínimo zero</t>
  </si>
  <si>
    <t>Fornecedores de milho</t>
  </si>
  <si>
    <t>US$ milhões; financiamento comercial das compras de milho</t>
  </si>
  <si>
    <t>Reposição anual / CAPEX</t>
  </si>
  <si>
    <t>1% apenas para simulação exploratória; não é benchmark ou orçamento aprovado</t>
  </si>
  <si>
    <t>Valor de venda final = zero no cenário conservador; valor contábil remanescente não gera receita de caixa automaticamente. Sem crédito fiscal na venda com prejuízo.</t>
  </si>
  <si>
    <t>Reposição anual não altera o resultado operacional de entrada: é investimento adicional. Confirmar ausência de duplicidade com despesas de manutenção.</t>
  </si>
  <si>
    <t>Estoques de milho e produto acabado são distintos. A sazonalidade das compras pode exigir capital de giro superior ao calculado por médias anuais.</t>
  </si>
  <si>
    <t>Taxa real em USD</t>
  </si>
  <si>
    <t>VPL (US$ milhões)</t>
  </si>
  <si>
    <t>VPL =</t>
  </si>
  <si>
    <t>Payback Simples =</t>
  </si>
  <si>
    <t>Payback Descontado =</t>
  </si>
  <si>
    <t>Modelo consolidado em uma única aba. Valores financeiros em US$ milhões. Fluxos anuais no fim de cada ano. Balanço de massa e regra de MDO preservados.</t>
  </si>
  <si>
    <t>Vínculo automático a F37; editar o investimento na origem (US$ milhões).</t>
  </si>
  <si>
    <t>Vínculo automático a F36; resultado antes de depreciação, juros e impostos (US$ milhões).</t>
  </si>
  <si>
    <t>Vínculo a F47; alíquota hipotética, sem compensação de prejuízos.</t>
  </si>
  <si>
    <t>Resultado operacional antes de depreciação =</t>
  </si>
  <si>
    <t>anos — fluxo após impostos</t>
  </si>
  <si>
    <t>anos — fluxo descontado à taxa de AA9</t>
  </si>
  <si>
    <t>Resultado operacional / custo líquido =</t>
  </si>
  <si>
    <t>Retorno operacional anual / CAPEX =</t>
  </si>
  <si>
    <t>ROIC — ano 1 =</t>
  </si>
  <si>
    <t>Desembolso inicial total =</t>
  </si>
  <si>
    <t>Folga TIR − taxa de desconto =</t>
  </si>
  <si>
    <t>pontos percentuais</t>
  </si>
  <si>
    <t>Resultado operacional mínimo estimado =</t>
  </si>
  <si>
    <t>Folga do resultado até VPL zero =</t>
  </si>
  <si>
    <t>Folga do resultado até VPL zero (%) =</t>
  </si>
  <si>
    <t>US$ milhões; receitas dos produtos e coprodutos desta planilha.</t>
  </si>
  <si>
    <t>Margem operacional / receita total =</t>
  </si>
  <si>
    <t>ROE — ano 1 =</t>
  </si>
  <si>
    <t>ROCE — ano 1 =</t>
  </si>
  <si>
    <t>SENSIBILIDADE DO RESULTADO | estimativa de VPL zero</t>
  </si>
  <si>
    <t>VPL / variação anual de resultado</t>
  </si>
  <si>
    <t>Resultado mínimo para VPL zero</t>
  </si>
  <si>
    <t>Folga anual de resultado</t>
  </si>
  <si>
    <t>Folga relativa do resultado</t>
  </si>
  <si>
    <t>Estimativa: varia apenas o resultado anual constante; mantém CAPEX, receitas, prazos, reinvestimentos e valor final. O estoque de produtos acompanha o custo de caixa.</t>
  </si>
  <si>
    <t>Válida enquanto houver lucro tributável em todos os anos e capital de giro positivo. Fora dessas condições, o campo solicita simulação. Não altera a regra de MDO.</t>
  </si>
  <si>
    <t>Manutenção: referência restaurada para F37/20 (5% do investimento por ano). A fórmula de MDO permanece intacta; o valor é recalculado conforme a regra original.</t>
  </si>
  <si>
    <t xml:space="preserve">MUS$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</si>
</sst>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t @&quot;\ 0.0%"/>
    <numFmt numFmtId="165" formatCode="&quot;~      &quot;#,##0"/>
    <numFmt numFmtId="166" formatCode="&quot;tpd @&quot;\ 0.0%"/>
    <numFmt numFmtId="167" formatCode="0.0%"/>
    <numFmt numFmtId="168" formatCode="0\ &quot;g/mol&quot;"/>
    <numFmt numFmtId="169" formatCode="#,##0\ &quot;t&quot;"/>
    <numFmt numFmtId="170" formatCode="#,##0\ &quot;m³&quot;"/>
    <numFmt numFmtId="171" formatCode="0.0"/>
    <numFmt numFmtId="172" formatCode="#,##0.000"/>
    <numFmt numFmtId="173" formatCode="#,##0.00;[Red]\(#,##0.00\);\–"/>
    <numFmt numFmtId="174" formatCode="&quot;Custo com terra em&quot;\ 0\ &quot;USD/ha =&quot;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vertAlign val="subscript"/>
      <sz val="8"/>
      <color theme="1"/>
      <name val="Calibri"/>
      <family val="2"/>
    </font>
    <font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vertAlign val="subscript"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10"/>
      <name val="Arial"/>
    </font>
    <font>
      <sz val="10"/>
      <color rgb="FF1D4ED8"/>
      <name val="Arial"/>
    </font>
    <font>
      <b/>
      <sz val="10"/>
      <color rgb="FFFFFFFF"/>
      <name val="Arial"/>
    </font>
    <font>
      <b/>
      <sz val="9"/>
      <color theme="1"/>
      <name val="Calibri"/>
      <family val="2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10"/>
      <name val="Arial"/>
    </font>
    <font>
      <sz val="10"/>
      <color rgb="FF166534"/>
      <name val="Arial"/>
    </font>
    <font>
      <b/>
      <sz val="11"/>
      <color rgb="FFFFFFFF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none"/>
    </fill>
    <fill>
      <patternFill patternType="solid">
        <fgColor rgb="FFFFF1CC"/>
      </patternFill>
    </fill>
    <fill>
      <patternFill patternType="solid">
        <fgColor rgb="FF16324F"/>
      </patternFill>
    </fill>
    <fill>
      <patternFill patternType="solid">
        <fgColor rgb="FFE7F2EE"/>
      </patternFill>
    </fill>
    <fill>
      <patternFill patternType="solid">
        <fgColor rgb="FFF0F4F8"/>
      </patternFill>
    </fill>
    <fill>
      <patternFill patternType="none"/>
    </fill>
    <fill>
      <patternFill patternType="none"/>
    </fill>
    <fill>
      <patternFill patternType="solid">
        <fgColor rgb="FFE8EEF5"/>
      </patternFill>
    </fill>
    <fill>
      <patternFill patternType="solid">
        <fgColor rgb="FF16324F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11" fillId="4" borderId="9" xfId="0" applyFont="1" applyFill="1" applyBorder="1" applyAlignment="1">
      <alignment wrapText="1"/>
    </xf>
    <xf numFmtId="167" fontId="11" fillId="4" borderId="9" xfId="0" applyNumberFormat="1" applyFont="1" applyFill="1" applyBorder="1"/>
    <xf numFmtId="0" fontId="11" fillId="4" borderId="9" xfId="0" applyFont="1" applyFill="1" applyBorder="1"/>
  </cellStyleXfs>
  <cellXfs count="1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8" fontId="2" fillId="2" borderId="1" xfId="0" applyNumberFormat="1" applyFont="1" applyFill="1" applyBorder="1" applyAlignment="1">
      <alignment horizontal="center"/>
    </xf>
    <xf numFmtId="167" fontId="2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170" fontId="2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71" fontId="2" fillId="0" borderId="0" xfId="0" applyNumberFormat="1" applyFont="1" applyAlignment="1">
      <alignment horizontal="right" vertical="center"/>
    </xf>
    <xf numFmtId="171" fontId="2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17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171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0" fontId="10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71" fontId="0" fillId="0" borderId="0" xfId="0" applyNumberFormat="1" applyAlignment="1">
      <alignment horizontal="center" vertical="center"/>
    </xf>
    <xf numFmtId="2" fontId="2" fillId="0" borderId="6" xfId="0" applyNumberFormat="1" applyFont="1" applyBorder="1" applyAlignment="1">
      <alignment horizontal="right" vertical="center"/>
    </xf>
    <xf numFmtId="0" fontId="11" fillId="4" borderId="9" xfId="1" applyFont="1" applyFill="1" applyBorder="1" applyAlignment="1"/>
    <xf numFmtId="4" fontId="11" fillId="4" borderId="9" xfId="1" applyNumberFormat="1" applyFont="1" applyFill="1" applyBorder="1" applyAlignment="1"/>
    <xf numFmtId="4" fontId="11" fillId="5" borderId="9" xfId="1" applyNumberFormat="1" applyFont="1" applyFill="1" applyBorder="1" applyAlignment="1"/>
    <xf numFmtId="4" fontId="12" fillId="5" borderId="9" xfId="1" applyNumberFormat="1" applyFont="1" applyFill="1" applyBorder="1" applyAlignment="1"/>
    <xf numFmtId="167" fontId="12" fillId="5" borderId="9" xfId="1" applyNumberFormat="1" applyFont="1" applyFill="1" applyBorder="1" applyAlignment="1"/>
    <xf numFmtId="10" fontId="11" fillId="4" borderId="9" xfId="1" applyNumberFormat="1" applyFont="1" applyFill="1" applyBorder="1" applyAlignment="1"/>
    <xf numFmtId="173" fontId="11" fillId="4" borderId="9" xfId="1" applyNumberFormat="1" applyFont="1" applyFill="1" applyBorder="1" applyAlignment="1"/>
    <xf numFmtId="2" fontId="11" fillId="4" borderId="9" xfId="1" applyNumberFormat="1" applyFont="1" applyFill="1" applyBorder="1" applyAlignment="1"/>
    <xf numFmtId="0" fontId="11" fillId="4" borderId="9" xfId="1" applyFont="1" applyFill="1" applyBorder="1" applyAlignment="1">
      <alignment wrapText="1"/>
    </xf>
    <xf numFmtId="0" fontId="13" fillId="6" borderId="9" xfId="1" applyFont="1" applyFill="1" applyBorder="1" applyAlignment="1">
      <alignment wrapText="1"/>
    </xf>
    <xf numFmtId="10" fontId="11" fillId="7" borderId="9" xfId="1" applyNumberFormat="1" applyFont="1" applyFill="1" applyBorder="1" applyAlignment="1"/>
    <xf numFmtId="4" fontId="11" fillId="7" borderId="9" xfId="1" applyNumberFormat="1" applyFont="1" applyFill="1" applyBorder="1" applyAlignment="1"/>
    <xf numFmtId="0" fontId="11" fillId="8" borderId="9" xfId="1" applyFont="1" applyFill="1" applyBorder="1" applyAlignment="1"/>
    <xf numFmtId="173" fontId="11" fillId="8" borderId="9" xfId="1" applyNumberFormat="1" applyFont="1" applyFill="1" applyBorder="1" applyAlignment="1"/>
    <xf numFmtId="10" fontId="11" fillId="8" borderId="9" xfId="1" applyNumberFormat="1" applyFont="1" applyFill="1" applyBorder="1" applyAlignment="1"/>
    <xf numFmtId="2" fontId="11" fillId="8" borderId="9" xfId="1" applyNumberFormat="1" applyFont="1" applyFill="1" applyBorder="1" applyAlignment="1"/>
    <xf numFmtId="0" fontId="11" fillId="4" borderId="9" xfId="1" applyFont="1" applyFill="1" applyBorder="1" applyAlignment="1">
      <alignment vertical="center" wrapText="1"/>
    </xf>
    <xf numFmtId="167" fontId="14" fillId="0" borderId="8" xfId="0" applyNumberFormat="1" applyFont="1" applyBorder="1" applyAlignment="1">
      <alignment horizontal="center" vertical="center"/>
    </xf>
    <xf numFmtId="171" fontId="17" fillId="9" borderId="10" xfId="2" applyNumberFormat="1" applyFont="1" applyAlignment="1">
      <alignment horizontal="right" vertical="center"/>
    </xf>
    <xf numFmtId="0" fontId="19" fillId="9" borderId="10" xfId="2" applyFont="1" applyAlignment="1">
      <alignment horizontal="right" vertical="center"/>
    </xf>
    <xf numFmtId="4" fontId="21" fillId="11" borderId="10" xfId="2" applyNumberFormat="1" applyFont="1" applyFill="1"/>
    <xf numFmtId="167" fontId="21" fillId="11" borderId="10" xfId="2" applyNumberFormat="1" applyFont="1" applyFill="1"/>
    <xf numFmtId="2" fontId="15" fillId="9" borderId="10" xfId="2" applyNumberFormat="1"/>
    <xf numFmtId="10" fontId="15" fillId="9" borderId="10" xfId="2" applyNumberFormat="1"/>
    <xf numFmtId="0" fontId="11" fillId="4" borderId="9" xfId="1" applyFont="1" applyFill="1" applyBorder="1" applyAlignment="1">
      <alignment wrapText="1"/>
    </xf>
    <xf numFmtId="0" fontId="11" fillId="4" borderId="9" xfId="1" applyFont="1" applyFill="1" applyBorder="1" applyAlignment="1"/>
    <xf numFmtId="0" fontId="20" fillId="10" borderId="11" xfId="3" applyFont="1" applyFill="1" applyBorder="1" applyAlignment="1">
      <alignment wrapText="1"/>
    </xf>
    <xf numFmtId="0" fontId="11" fillId="4" borderId="9" xfId="1" applyFont="1" applyFill="1" applyBorder="1" applyAlignment="1">
      <alignment vertical="center" wrapText="1"/>
    </xf>
    <xf numFmtId="0" fontId="13" fillId="6" borderId="9" xfId="1" applyFont="1" applyFill="1" applyBorder="1" applyAlignment="1"/>
    <xf numFmtId="0" fontId="11" fillId="7" borderId="9" xfId="1" applyFont="1" applyFill="1" applyBorder="1" applyAlignment="1">
      <alignment wrapText="1"/>
    </xf>
    <xf numFmtId="0" fontId="13" fillId="6" borderId="9" xfId="1" applyFont="1" applyFill="1" applyBorder="1" applyAlignment="1">
      <alignment wrapText="1"/>
    </xf>
    <xf numFmtId="0" fontId="20" fillId="10" borderId="11" xfId="3" applyFont="1" applyFill="1" applyBorder="1"/>
    <xf numFmtId="0" fontId="2" fillId="0" borderId="0" xfId="0" applyFont="1" applyAlignment="1">
      <alignment horizontal="center" vertical="center"/>
    </xf>
    <xf numFmtId="167" fontId="3" fillId="0" borderId="0" xfId="0" applyNumberFormat="1" applyFont="1" applyAlignment="1">
      <alignment horizontal="left" vertical="center"/>
    </xf>
    <xf numFmtId="0" fontId="0" fillId="0" borderId="0" xfId="0"/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7" fillId="9" borderId="10" xfId="2" applyNumberFormat="1" applyFont="1" applyFill="1" applyBorder="1" applyAlignment="1">
      <alignment horizontal="right" vertical="center" wrapText="1"/>
    </xf>
    <xf numFmtId="0" fontId="19" fillId="9" borderId="10" xfId="2" applyNumberFormat="1" applyFont="1" applyFill="1" applyBorder="1" applyAlignment="1">
      <alignment horizontal="right" vertical="center" wrapText="1"/>
    </xf>
    <xf numFmtId="0" fontId="16" fillId="9" borderId="10" xfId="2" applyNumberFormat="1" applyFont="1" applyFill="1" applyBorder="1" applyAlignment="1">
      <alignment horizontal="right" vertical="center" wrapText="1"/>
    </xf>
    <xf numFmtId="0" fontId="18" fillId="9" borderId="10" xfId="2" applyNumberFormat="1" applyFont="1" applyFill="1" applyBorder="1" applyAlignment="1">
      <alignment horizontal="right" vertical="center" wrapText="1"/>
    </xf>
    <xf numFmtId="0" fontId="17" fillId="9" borderId="10" xfId="2" applyNumberFormat="1" applyFont="1" applyFill="1" applyBorder="1" applyAlignment="1">
      <alignment horizontal="left" vertical="center"/>
    </xf>
    <xf numFmtId="171" fontId="2" fillId="0" borderId="0" xfId="0" applyNumberFormat="1" applyFont="1" applyAlignment="1">
      <alignment horizontal="center" vertical="center"/>
    </xf>
    <xf numFmtId="0" fontId="22" fillId="12" borderId="10" xfId="2" applyNumberFormat="1" applyFont="1" applyFill="1" applyBorder="1"/>
    <xf numFmtId="0" fontId="15" fillId="9" borderId="10" xfId="2" applyNumberFormat="1" applyFont="1" applyFill="1" applyBorder="1" applyAlignment="1">
      <alignment wrapText="1"/>
    </xf>
    <xf numFmtId="1" fontId="17" fillId="9" borderId="10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9" borderId="11" xfId="2" applyNumberFormat="1" applyFont="1" applyFill="1" applyBorder="1" applyAlignment="1">
      <alignment horizontal="right" vertical="center" wrapText="1"/>
    </xf>
    <xf numFmtId="0" fontId="2" fillId="13" borderId="0" xfId="0" applyFont="1" applyFill="1" applyAlignment="1">
      <alignment horizontal="center" vertical="center"/>
    </xf>
    <xf numFmtId="0" fontId="17" fillId="13" borderId="10" xfId="2" applyNumberFormat="1" applyFont="1" applyFill="1" applyBorder="1" applyAlignment="1">
      <alignment horizontal="right" vertical="center" wrapText="1"/>
    </xf>
    <xf numFmtId="0" fontId="2" fillId="13" borderId="0" xfId="0" applyFont="1" applyFill="1" applyAlignment="1">
      <alignment horizontal="center" vertical="center"/>
    </xf>
    <xf numFmtId="2" fontId="17" fillId="13" borderId="10" xfId="2" applyNumberFormat="1" applyFont="1" applyFill="1" applyBorder="1" applyAlignment="1">
      <alignment horizontal="right" vertical="center"/>
    </xf>
    <xf numFmtId="0" fontId="17" fillId="13" borderId="10" xfId="2" applyNumberFormat="1" applyFont="1" applyFill="1" applyBorder="1" applyAlignment="1">
      <alignment horizontal="left" vertical="center" wrapText="1"/>
    </xf>
    <xf numFmtId="0" fontId="17" fillId="13" borderId="10" xfId="2" applyNumberFormat="1" applyFont="1" applyFill="1" applyBorder="1" applyAlignment="1">
      <alignment horizontal="left" vertical="center" wrapText="1"/>
    </xf>
    <xf numFmtId="174" fontId="3" fillId="0" borderId="11" xfId="0" applyNumberFormat="1" applyFont="1" applyBorder="1" applyAlignment="1">
      <alignment horizontal="right" vertical="center"/>
    </xf>
    <xf numFmtId="0" fontId="5" fillId="13" borderId="11" xfId="2" applyNumberFormat="1" applyFont="1" applyFill="1" applyBorder="1" applyAlignment="1">
      <alignment horizontal="center" vertical="center" wrapText="1"/>
    </xf>
    <xf numFmtId="0" fontId="2" fillId="13" borderId="10" xfId="2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304800" cy="314325"/>
    <xdr:sp macro="" textlink="">
      <xdr:nvSpPr>
        <xdr:cNvPr id="3" name="Shape 3" descr="Vetores de De Grão De Milho e mais imagens de Clip Art - iStoc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104775</xdr:colOff>
      <xdr:row>6</xdr:row>
      <xdr:rowOff>76200</xdr:rowOff>
    </xdr:from>
    <xdr:ext cx="11906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244215" y="1211580"/>
          <a:ext cx="1190625" cy="38100"/>
          <a:chOff x="4750688" y="3780000"/>
          <a:chExt cx="11906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4750688" y="3780000"/>
            <a:ext cx="119062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5</xdr:col>
      <xdr:colOff>104775</xdr:colOff>
      <xdr:row>14</xdr:row>
      <xdr:rowOff>76200</xdr:rowOff>
    </xdr:from>
    <xdr:ext cx="914400" cy="38100"/>
    <xdr:grpSp>
      <xdr:nvGrpSpPr>
        <xdr:cNvPr id="5" name="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3244215" y="2720340"/>
          <a:ext cx="914400" cy="38100"/>
          <a:chOff x="4888800" y="3780000"/>
          <a:chExt cx="914400" cy="0"/>
        </a:xfrm>
      </xdr:grpSpPr>
      <xdr:cxnSp macro="">
        <xdr:nvCxnSpPr>
          <xdr:cNvPr id="6" name="Shap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>
            <a:off x="4888800" y="3780000"/>
            <a:ext cx="91440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352425</xdr:colOff>
      <xdr:row>10</xdr:row>
      <xdr:rowOff>76200</xdr:rowOff>
    </xdr:from>
    <xdr:ext cx="409575" cy="647700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45975" y="3460913"/>
          <a:ext cx="400050" cy="638175"/>
        </a:xfrm>
        <a:prstGeom prst="rightBrace">
          <a:avLst>
            <a:gd name="adj1" fmla="val 8333"/>
            <a:gd name="adj2" fmla="val 50000"/>
          </a:avLst>
        </a:prstGeom>
        <a:noFill/>
        <a:ln w="9525" cap="flat" cmpd="sng">
          <a:solidFill>
            <a:schemeClr val="accen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66675</xdr:colOff>
      <xdr:row>12</xdr:row>
      <xdr:rowOff>0</xdr:rowOff>
    </xdr:from>
    <xdr:ext cx="2619375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4844415" y="2278380"/>
          <a:ext cx="2619375" cy="38100"/>
          <a:chOff x="4036313" y="3780000"/>
          <a:chExt cx="2619375" cy="0"/>
        </a:xfrm>
      </xdr:grpSpPr>
      <xdr:cxnSp macro="">
        <xdr:nvCxnSpPr>
          <xdr:cNvPr id="9" name="Shape 7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4036313" y="3780000"/>
            <a:ext cx="261937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11</xdr:col>
      <xdr:colOff>400050</xdr:colOff>
      <xdr:row>11</xdr:row>
      <xdr:rowOff>180975</xdr:rowOff>
    </xdr:from>
    <xdr:ext cx="228600" cy="38100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7928610" y="2268855"/>
          <a:ext cx="228600" cy="38100"/>
          <a:chOff x="5231700" y="3780000"/>
          <a:chExt cx="228600" cy="0"/>
        </a:xfrm>
      </xdr:grpSpPr>
      <xdr:cxnSp macro="">
        <xdr:nvCxnSpPr>
          <xdr:cNvPr id="13" name="Shape 9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5231700" y="3780000"/>
            <a:ext cx="22860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16</xdr:col>
      <xdr:colOff>323850</xdr:colOff>
      <xdr:row>12</xdr:row>
      <xdr:rowOff>180975</xdr:rowOff>
    </xdr:from>
    <xdr:ext cx="3143250" cy="1733550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2</xdr:col>
      <xdr:colOff>323850</xdr:colOff>
      <xdr:row>9</xdr:row>
      <xdr:rowOff>49530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CFFA8F62-5844-AC75-4AD3-41B5163BE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847850" cy="1847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304800" cy="314325"/>
    <xdr:sp macro="" textlink="">
      <xdr:nvSpPr>
        <xdr:cNvPr id="3" name="Shape 3" descr="Vetores de De Grão De Milho e mais imagens de Clip Art - iStock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104775</xdr:colOff>
      <xdr:row>5</xdr:row>
      <xdr:rowOff>76200</xdr:rowOff>
    </xdr:from>
    <xdr:ext cx="11811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878455" y="990600"/>
          <a:ext cx="1181100" cy="38100"/>
          <a:chOff x="4755450" y="3780000"/>
          <a:chExt cx="1181100" cy="0"/>
        </a:xfrm>
      </xdr:grpSpPr>
      <xdr:cxnSp macro="">
        <xdr:nvCxnSpPr>
          <xdr:cNvPr id="12" name="Shape 1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/>
        </xdr:nvCxnSpPr>
        <xdr:spPr>
          <a:xfrm>
            <a:off x="4755450" y="3780000"/>
            <a:ext cx="118110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8</xdr:col>
      <xdr:colOff>714375</xdr:colOff>
      <xdr:row>3</xdr:row>
      <xdr:rowOff>142875</xdr:rowOff>
    </xdr:from>
    <xdr:ext cx="819150" cy="352425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5415915" y="691515"/>
          <a:ext cx="819150" cy="352425"/>
          <a:chOff x="4941188" y="3608550"/>
          <a:chExt cx="809625" cy="342900"/>
        </a:xfrm>
      </xdr:grpSpPr>
      <xdr:cxnSp macro="">
        <xdr:nvCxnSpPr>
          <xdr:cNvPr id="15" name="Shape 15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CxnSpPr/>
        </xdr:nvCxnSpPr>
        <xdr:spPr>
          <a:xfrm rot="10800000" flipH="1">
            <a:off x="4941188" y="3608550"/>
            <a:ext cx="809625" cy="34290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8</xdr:col>
      <xdr:colOff>704850</xdr:colOff>
      <xdr:row>5</xdr:row>
      <xdr:rowOff>114300</xdr:rowOff>
    </xdr:from>
    <xdr:ext cx="847725" cy="361950"/>
    <xdr:grpSp>
      <xdr:nvGrpSpPr>
        <xdr:cNvPr id="5" name="Shap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5406390" y="1028700"/>
          <a:ext cx="847725" cy="361950"/>
          <a:chOff x="4926900" y="3603788"/>
          <a:chExt cx="838200" cy="352425"/>
        </a:xfrm>
      </xdr:grpSpPr>
      <xdr:cxnSp macro="">
        <xdr:nvCxnSpPr>
          <xdr:cNvPr id="16" name="Shape 16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CxnSpPr/>
        </xdr:nvCxnSpPr>
        <xdr:spPr>
          <a:xfrm>
            <a:off x="4926900" y="3603788"/>
            <a:ext cx="838200" cy="352425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38100</xdr:colOff>
      <xdr:row>1</xdr:row>
      <xdr:rowOff>66675</xdr:rowOff>
    </xdr:from>
    <xdr:ext cx="809625" cy="352425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8755380" y="249555"/>
          <a:ext cx="809625" cy="352425"/>
          <a:chOff x="4941188" y="3608550"/>
          <a:chExt cx="809625" cy="342900"/>
        </a:xfrm>
      </xdr:grpSpPr>
      <xdr:cxnSp macro="">
        <xdr:nvCxnSpPr>
          <xdr:cNvPr id="7" name="Shape 15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CxnSpPr/>
        </xdr:nvCxnSpPr>
        <xdr:spPr>
          <a:xfrm rot="10800000" flipH="1">
            <a:off x="4941188" y="3608550"/>
            <a:ext cx="809625" cy="34290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57150</xdr:colOff>
      <xdr:row>2</xdr:row>
      <xdr:rowOff>123825</xdr:rowOff>
    </xdr:from>
    <xdr:ext cx="762000" cy="13335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8774430" y="489585"/>
          <a:ext cx="762000" cy="133350"/>
          <a:chOff x="4965000" y="3713325"/>
          <a:chExt cx="762000" cy="133350"/>
        </a:xfrm>
      </xdr:grpSpPr>
      <xdr:cxnSp macro="">
        <xdr:nvCxnSpPr>
          <xdr:cNvPr id="17" name="Shape 17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CxnSpPr/>
        </xdr:nvCxnSpPr>
        <xdr:spPr>
          <a:xfrm rot="10800000" flipH="1">
            <a:off x="4965000" y="3713325"/>
            <a:ext cx="762000" cy="13335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123825</xdr:colOff>
      <xdr:row>3</xdr:row>
      <xdr:rowOff>85725</xdr:rowOff>
    </xdr:from>
    <xdr:ext cx="676275" cy="38100"/>
    <xdr:grpSp>
      <xdr:nvGrpSpPr>
        <xdr:cNvPr id="9" name="Shape 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pSpPr/>
      </xdr:nvGrpSpPr>
      <xdr:grpSpPr>
        <a:xfrm>
          <a:off x="8841105" y="634365"/>
          <a:ext cx="676275" cy="38100"/>
          <a:chOff x="5007863" y="3775238"/>
          <a:chExt cx="676275" cy="9525"/>
        </a:xfrm>
      </xdr:grpSpPr>
      <xdr:cxnSp macro="">
        <xdr:nvCxnSpPr>
          <xdr:cNvPr id="18" name="Shape 18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CxnSpPr/>
        </xdr:nvCxnSpPr>
        <xdr:spPr>
          <a:xfrm rot="10800000" flipH="1">
            <a:off x="5007863" y="3775238"/>
            <a:ext cx="676275" cy="9525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85725</xdr:colOff>
      <xdr:row>3</xdr:row>
      <xdr:rowOff>161925</xdr:rowOff>
    </xdr:from>
    <xdr:ext cx="771525" cy="133350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8803005" y="710565"/>
          <a:ext cx="771525" cy="133350"/>
          <a:chOff x="4960238" y="3718088"/>
          <a:chExt cx="771525" cy="123825"/>
        </a:xfrm>
      </xdr:grpSpPr>
      <xdr:cxnSp macro="">
        <xdr:nvCxnSpPr>
          <xdr:cNvPr id="19" name="Shape 19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>
            <a:off x="4960238" y="3718088"/>
            <a:ext cx="771525" cy="123825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28575</xdr:colOff>
      <xdr:row>6</xdr:row>
      <xdr:rowOff>104775</xdr:rowOff>
    </xdr:from>
    <xdr:ext cx="838200" cy="200025"/>
    <xdr:grpSp>
      <xdr:nvGrpSpPr>
        <xdr:cNvPr id="11" name="Shape 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8745855" y="1202055"/>
          <a:ext cx="838200" cy="200025"/>
          <a:chOff x="4926900" y="3684750"/>
          <a:chExt cx="838200" cy="190500"/>
        </a:xfrm>
      </xdr:grpSpPr>
      <xdr:cxnSp macro="">
        <xdr:nvCxnSpPr>
          <xdr:cNvPr id="20" name="Shape 20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CxnSpPr/>
        </xdr:nvCxnSpPr>
        <xdr:spPr>
          <a:xfrm rot="10800000" flipH="1">
            <a:off x="4926900" y="3684750"/>
            <a:ext cx="838200" cy="19050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38100</xdr:colOff>
      <xdr:row>7</xdr:row>
      <xdr:rowOff>114300</xdr:rowOff>
    </xdr:from>
    <xdr:ext cx="695325" cy="142875"/>
    <xdr:grpSp>
      <xdr:nvGrpSpPr>
        <xdr:cNvPr id="13" name="Shape 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pSpPr/>
      </xdr:nvGrpSpPr>
      <xdr:grpSpPr>
        <a:xfrm>
          <a:off x="8755380" y="1394460"/>
          <a:ext cx="695325" cy="142875"/>
          <a:chOff x="4998338" y="3713325"/>
          <a:chExt cx="695325" cy="133350"/>
        </a:xfrm>
      </xdr:grpSpPr>
      <xdr:cxnSp macro="">
        <xdr:nvCxnSpPr>
          <xdr:cNvPr id="21" name="Shape 2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CxnSpPr/>
        </xdr:nvCxnSpPr>
        <xdr:spPr>
          <a:xfrm>
            <a:off x="4998338" y="3713325"/>
            <a:ext cx="695325" cy="13335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0</xdr:col>
      <xdr:colOff>714375</xdr:colOff>
      <xdr:row>4</xdr:row>
      <xdr:rowOff>28575</xdr:rowOff>
    </xdr:from>
    <xdr:ext cx="781050" cy="1152525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00"/>
  <sheetViews>
    <sheetView showGridLines="0" tabSelected="1" workbookViewId="0"/>
  </sheetViews>
  <sheetFormatPr defaultColWidth="14.44140625" defaultRowHeight="15" customHeight="1" x14ac:dyDescent="0.3"/>
  <cols>
    <col min="1" max="2" width="11.44140625" customWidth="1"/>
    <col min="3" max="3" width="9.109375" customWidth="1"/>
    <col min="4" max="4" width="5.6640625" customWidth="1"/>
    <col min="5" max="5" width="8.109375" customWidth="1"/>
    <col min="6" max="6" width="11.5546875" customWidth="1"/>
    <col min="7" max="7" width="12.33203125" customWidth="1"/>
    <col min="8" max="8" width="10.33203125" customWidth="1"/>
    <col min="9" max="9" width="13.109375" customWidth="1"/>
    <col min="10" max="10" width="6" customWidth="1"/>
    <col min="11" max="11" width="10.6640625" customWidth="1"/>
    <col min="12" max="12" width="7.109375" customWidth="1"/>
    <col min="13" max="13" width="11" customWidth="1"/>
    <col min="14" max="14" width="6.109375" customWidth="1"/>
    <col min="15" max="15" width="13.5546875" customWidth="1"/>
    <col min="16" max="16" width="7.33203125" customWidth="1"/>
    <col min="17" max="17" width="13.109375" customWidth="1"/>
    <col min="18" max="18" width="2" customWidth="1"/>
    <col min="19" max="19" width="13.5546875" customWidth="1"/>
    <col min="20" max="26" width="11.44140625" customWidth="1"/>
    <col min="27" max="32" width="14.44140625" customWidth="1"/>
  </cols>
  <sheetData>
    <row r="1" spans="1:47" x14ac:dyDescent="0.3">
      <c r="A1" s="1"/>
      <c r="B1" s="1"/>
      <c r="C1" s="1"/>
      <c r="D1" s="1"/>
      <c r="E1" s="2" t="s">
        <v>0</v>
      </c>
      <c r="F1" s="3">
        <v>476141</v>
      </c>
      <c r="G1" s="4" t="s">
        <v>1</v>
      </c>
      <c r="H1" s="1"/>
      <c r="I1" s="1"/>
      <c r="J1" s="1"/>
      <c r="K1" s="1"/>
      <c r="L1" s="1" t="s">
        <v>2</v>
      </c>
      <c r="M1" s="1"/>
      <c r="N1" s="1"/>
      <c r="O1" s="1"/>
      <c r="P1" s="1" t="s">
        <v>3</v>
      </c>
      <c r="Q1" s="1"/>
      <c r="R1" s="1"/>
      <c r="S1" s="1"/>
      <c r="T1" s="1"/>
      <c r="W1" s="86" t="s">
        <v>102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</row>
    <row r="2" spans="1:47" ht="14.4" x14ac:dyDescent="0.3">
      <c r="A2" s="1"/>
      <c r="B2" s="1"/>
      <c r="C2" s="1"/>
      <c r="D2" s="1"/>
      <c r="E2" s="2" t="s">
        <v>6</v>
      </c>
      <c r="F2" s="6">
        <f>+F1*5-1</f>
        <v>2380704</v>
      </c>
      <c r="G2" s="4">
        <v>0.14000000000000001</v>
      </c>
      <c r="H2" s="7">
        <f>+F2/360</f>
        <v>6613.0666666666666</v>
      </c>
      <c r="I2" s="8">
        <f>+G2</f>
        <v>0.14000000000000001</v>
      </c>
      <c r="J2" s="1"/>
      <c r="K2" s="9" t="s">
        <v>7</v>
      </c>
      <c r="L2" s="10" t="s">
        <v>8</v>
      </c>
      <c r="M2" s="9" t="s">
        <v>9</v>
      </c>
      <c r="N2" s="11" t="s">
        <v>10</v>
      </c>
      <c r="O2" s="9" t="s">
        <v>11</v>
      </c>
      <c r="P2" s="11" t="s">
        <v>10</v>
      </c>
      <c r="Q2" s="9" t="s">
        <v>12</v>
      </c>
      <c r="R2" s="10" t="s">
        <v>8</v>
      </c>
      <c r="S2" s="9" t="s">
        <v>13</v>
      </c>
      <c r="T2" s="1"/>
      <c r="V2" s="5"/>
      <c r="W2" s="87" t="s">
        <v>188</v>
      </c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</row>
    <row r="3" spans="1:47" ht="15.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14</v>
      </c>
      <c r="L3" s="10" t="s">
        <v>8</v>
      </c>
      <c r="M3" s="10" t="s">
        <v>15</v>
      </c>
      <c r="N3" s="11" t="s">
        <v>10</v>
      </c>
      <c r="O3" s="10" t="s">
        <v>16</v>
      </c>
      <c r="P3" s="11" t="s">
        <v>10</v>
      </c>
      <c r="Q3" s="10" t="s">
        <v>17</v>
      </c>
      <c r="R3" s="10" t="s">
        <v>8</v>
      </c>
      <c r="S3" s="10" t="s">
        <v>18</v>
      </c>
      <c r="T3" s="1"/>
      <c r="V3" s="1"/>
      <c r="W3" s="81" t="s">
        <v>103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</row>
    <row r="4" spans="1:47" ht="14.4" x14ac:dyDescent="0.3">
      <c r="A4" s="1"/>
      <c r="B4" s="1"/>
      <c r="C4" s="1"/>
      <c r="E4" s="1"/>
      <c r="F4" s="1"/>
      <c r="G4" s="1"/>
      <c r="H4" s="1"/>
      <c r="I4" s="1"/>
      <c r="J4" s="1"/>
      <c r="K4" s="14">
        <v>162</v>
      </c>
      <c r="L4" s="10" t="s">
        <v>8</v>
      </c>
      <c r="M4" s="14">
        <v>18</v>
      </c>
      <c r="N4" s="11" t="s">
        <v>10</v>
      </c>
      <c r="O4" s="14">
        <f>+M4+K4</f>
        <v>180</v>
      </c>
      <c r="P4" s="11" t="s">
        <v>10</v>
      </c>
      <c r="Q4" s="14">
        <v>92</v>
      </c>
      <c r="R4" s="10" t="s">
        <v>8</v>
      </c>
      <c r="S4" s="14">
        <f t="shared" ref="S4:S5" si="0">+O4-Q4</f>
        <v>88</v>
      </c>
      <c r="T4" s="1"/>
      <c r="U4" s="12"/>
      <c r="V4" s="12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47" x14ac:dyDescent="0.3">
      <c r="A5" s="1"/>
      <c r="B5" s="1"/>
      <c r="C5" s="2"/>
      <c r="D5" s="2" t="s">
        <v>19</v>
      </c>
      <c r="E5" s="15">
        <f>G2</f>
        <v>0.14000000000000001</v>
      </c>
      <c r="F5" s="1"/>
      <c r="G5" s="1"/>
      <c r="H5" s="1"/>
      <c r="I5" s="1"/>
      <c r="J5" s="1"/>
      <c r="K5" s="16">
        <f>+K7</f>
        <v>1474131.9168</v>
      </c>
      <c r="L5" s="17" t="s">
        <v>8</v>
      </c>
      <c r="M5" s="16">
        <f>+K5*M4/K4</f>
        <v>163792.43520000001</v>
      </c>
      <c r="N5" s="1" t="s">
        <v>10</v>
      </c>
      <c r="O5" s="16">
        <f>+K5*O4/K4</f>
        <v>1637924.352</v>
      </c>
      <c r="P5" s="1" t="s">
        <v>10</v>
      </c>
      <c r="Q5" s="16">
        <f>+O5*Q4/O4</f>
        <v>837161.33546666673</v>
      </c>
      <c r="R5" s="17" t="s">
        <v>8</v>
      </c>
      <c r="S5" s="16">
        <f t="shared" si="0"/>
        <v>800763.01653333323</v>
      </c>
      <c r="T5" s="1"/>
      <c r="U5" s="12"/>
      <c r="V5" s="12"/>
      <c r="W5" s="81" t="s">
        <v>104</v>
      </c>
      <c r="X5" s="81"/>
      <c r="Y5" s="81"/>
      <c r="Z5" s="81"/>
      <c r="AA5" s="76">
        <f>'Etanol Milho'!F37</f>
        <v>350</v>
      </c>
      <c r="AB5" s="82" t="s">
        <v>189</v>
      </c>
      <c r="AC5" s="80"/>
      <c r="AD5" s="80"/>
      <c r="AE5" s="80"/>
      <c r="AF5" s="80"/>
      <c r="AG5" s="80"/>
      <c r="AH5" s="80"/>
      <c r="AI5" s="80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</row>
    <row r="6" spans="1:47" x14ac:dyDescent="0.3">
      <c r="A6" s="1"/>
      <c r="B6" s="1"/>
      <c r="C6" s="1"/>
      <c r="D6" s="1"/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2"/>
      <c r="V6" s="12"/>
      <c r="W6" s="81" t="s">
        <v>105</v>
      </c>
      <c r="X6" s="81"/>
      <c r="Y6" s="81"/>
      <c r="Z6" s="81"/>
      <c r="AA6" s="76">
        <f>'Etanol Milho'!F36</f>
        <v>72.426788243017199</v>
      </c>
      <c r="AB6" s="82" t="s">
        <v>190</v>
      </c>
      <c r="AC6" s="80"/>
      <c r="AD6" s="80"/>
      <c r="AE6" s="80"/>
      <c r="AF6" s="80"/>
      <c r="AG6" s="80"/>
      <c r="AH6" s="80"/>
      <c r="AI6" s="80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</row>
    <row r="7" spans="1:47" x14ac:dyDescent="0.3">
      <c r="A7" s="1"/>
      <c r="B7" s="1"/>
      <c r="C7" s="2"/>
      <c r="D7" s="2" t="s">
        <v>20</v>
      </c>
      <c r="E7" s="15">
        <f>72%*(1-$E$5)</f>
        <v>0.61919999999999997</v>
      </c>
      <c r="F7" s="1"/>
      <c r="G7" s="1"/>
      <c r="H7" s="6">
        <f>+E7*F2</f>
        <v>1474131.9168</v>
      </c>
      <c r="I7" s="18" t="s">
        <v>21</v>
      </c>
      <c r="J7" s="1" t="s">
        <v>36</v>
      </c>
      <c r="K7" s="16">
        <f>+H7</f>
        <v>1474131.9168</v>
      </c>
      <c r="L7" s="16" t="s">
        <v>8</v>
      </c>
      <c r="M7" s="16">
        <f>+K7*M5/K5</f>
        <v>163792.43520000001</v>
      </c>
      <c r="N7" s="1" t="s">
        <v>10</v>
      </c>
      <c r="O7" s="16">
        <f>+K7*O5/K5</f>
        <v>1637924.352</v>
      </c>
      <c r="P7" s="1" t="s">
        <v>10</v>
      </c>
      <c r="Q7" s="19">
        <f>Q5/0.811/0.96</f>
        <v>1075268.8751883819</v>
      </c>
      <c r="R7" s="17" t="s">
        <v>8</v>
      </c>
      <c r="S7" s="16">
        <f>+S5</f>
        <v>800763.01653333323</v>
      </c>
      <c r="T7" s="1"/>
      <c r="U7" s="12"/>
      <c r="V7" s="12"/>
      <c r="W7" s="81" t="s">
        <v>106</v>
      </c>
      <c r="X7" s="81"/>
      <c r="Y7" s="81"/>
      <c r="Z7" s="81"/>
      <c r="AA7" s="77">
        <f>'Etanol Milho'!F47/100</f>
        <v>0.34</v>
      </c>
      <c r="AB7" s="82" t="s">
        <v>191</v>
      </c>
      <c r="AC7" s="80"/>
      <c r="AD7" s="80"/>
      <c r="AE7" s="80"/>
      <c r="AF7" s="80"/>
      <c r="AG7" s="80"/>
      <c r="AH7" s="80"/>
      <c r="AI7" s="80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</row>
    <row r="8" spans="1:47" x14ac:dyDescent="0.3">
      <c r="A8" s="1"/>
      <c r="B8" s="1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2"/>
      <c r="V8" s="12"/>
      <c r="W8" s="81" t="s">
        <v>107</v>
      </c>
      <c r="X8" s="81"/>
      <c r="Y8" s="81"/>
      <c r="Z8" s="81"/>
      <c r="AA8" s="59">
        <v>15</v>
      </c>
      <c r="AB8" s="80" t="s">
        <v>108</v>
      </c>
      <c r="AC8" s="80"/>
      <c r="AD8" s="80"/>
      <c r="AE8" s="80"/>
      <c r="AF8" s="80"/>
      <c r="AG8" s="80"/>
      <c r="AH8" s="80"/>
      <c r="AI8" s="80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</row>
    <row r="9" spans="1:47" x14ac:dyDescent="0.3">
      <c r="A9" s="1"/>
      <c r="B9" s="1"/>
      <c r="C9" s="2"/>
      <c r="D9" s="1"/>
      <c r="E9" s="1"/>
      <c r="F9" s="1"/>
      <c r="G9" s="1"/>
      <c r="H9" s="1"/>
      <c r="I9" s="1" t="s">
        <v>22</v>
      </c>
      <c r="J9" s="1" t="s">
        <v>36</v>
      </c>
      <c r="K9" s="20">
        <v>0.98</v>
      </c>
      <c r="L9" s="1"/>
      <c r="M9" s="1"/>
      <c r="N9" s="1"/>
      <c r="O9" s="21">
        <f>K9-5%</f>
        <v>0.92999999999999994</v>
      </c>
      <c r="P9" s="1"/>
      <c r="Q9" s="21">
        <f>+O9</f>
        <v>0.92999999999999994</v>
      </c>
      <c r="R9" s="1"/>
      <c r="S9" s="20">
        <v>0.02</v>
      </c>
      <c r="T9" s="1"/>
      <c r="U9" s="12"/>
      <c r="V9" s="12"/>
      <c r="W9" s="81" t="s">
        <v>109</v>
      </c>
      <c r="X9" s="81"/>
      <c r="Y9" s="81"/>
      <c r="Z9" s="81"/>
      <c r="AA9" s="60">
        <v>0.1</v>
      </c>
      <c r="AB9" s="80" t="s">
        <v>110</v>
      </c>
      <c r="AC9" s="80"/>
      <c r="AD9" s="80"/>
      <c r="AE9" s="80"/>
      <c r="AF9" s="80"/>
      <c r="AG9" s="80"/>
      <c r="AH9" s="80"/>
      <c r="AI9" s="80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</row>
    <row r="10" spans="1:47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6">
        <f>+K9*K7</f>
        <v>1444649.278464</v>
      </c>
      <c r="L10" s="16"/>
      <c r="M10" s="16"/>
      <c r="N10" s="1"/>
      <c r="O10" s="16">
        <f>+K10*O7/K7</f>
        <v>1605165.8649599999</v>
      </c>
      <c r="P10" s="1"/>
      <c r="Q10" s="19">
        <f>Q9*Q7</f>
        <v>1000000.0539251951</v>
      </c>
      <c r="R10" s="17"/>
      <c r="S10" s="16">
        <f>+S9*S7</f>
        <v>16015.260330666664</v>
      </c>
      <c r="T10" s="1"/>
      <c r="U10" s="12"/>
      <c r="V10" s="12"/>
      <c r="W10" s="81" t="s">
        <v>111</v>
      </c>
      <c r="X10" s="81"/>
      <c r="Y10" s="81"/>
      <c r="Z10" s="81"/>
      <c r="AA10" s="57">
        <f>AA64</f>
        <v>76.24540251564575</v>
      </c>
      <c r="AB10" s="80" t="s">
        <v>112</v>
      </c>
      <c r="AC10" s="80"/>
      <c r="AD10" s="80"/>
      <c r="AE10" s="80"/>
      <c r="AF10" s="80"/>
      <c r="AG10" s="80"/>
      <c r="AH10" s="80"/>
      <c r="AI10" s="80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</row>
    <row r="11" spans="1:47" x14ac:dyDescent="0.3">
      <c r="A11" s="1"/>
      <c r="B11" s="1"/>
      <c r="C11" s="2"/>
      <c r="D11" s="2" t="s">
        <v>23</v>
      </c>
      <c r="E11" s="15">
        <f>10.7%*(1-$E$5)</f>
        <v>9.2019999999999991E-2</v>
      </c>
      <c r="F11" s="1"/>
      <c r="G11" s="1"/>
      <c r="H11" s="1"/>
      <c r="I11" s="1"/>
      <c r="J11" s="1"/>
      <c r="K11" s="1"/>
      <c r="L11" s="1"/>
      <c r="M11" s="22"/>
      <c r="N11" s="1"/>
      <c r="O11" s="1"/>
      <c r="P11" s="1"/>
      <c r="Q11" s="1"/>
      <c r="R11" s="1"/>
      <c r="S11" s="1"/>
      <c r="T11" s="1"/>
      <c r="U11" s="12"/>
      <c r="V11" s="12"/>
      <c r="W11" s="81" t="s">
        <v>113</v>
      </c>
      <c r="X11" s="81"/>
      <c r="Y11" s="81"/>
      <c r="Z11" s="81"/>
      <c r="AA11" s="57">
        <f>AA5*AA66</f>
        <v>3.5</v>
      </c>
      <c r="AB11" s="80" t="s">
        <v>114</v>
      </c>
      <c r="AC11" s="80"/>
      <c r="AD11" s="80"/>
      <c r="AE11" s="80"/>
      <c r="AF11" s="80"/>
      <c r="AG11" s="80"/>
      <c r="AH11" s="80"/>
      <c r="AI11" s="80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</row>
    <row r="12" spans="1:47" x14ac:dyDescent="0.3">
      <c r="A12" s="1"/>
      <c r="B12" s="1"/>
      <c r="C12" s="2"/>
      <c r="D12" s="2" t="s">
        <v>24</v>
      </c>
      <c r="E12" s="15">
        <f>8.3%*(1-$E$5)</f>
        <v>7.1379999999999999E-2</v>
      </c>
      <c r="F12" s="91">
        <f>+SUM(E11:E14)*F2</f>
        <v>517993.57631999999</v>
      </c>
      <c r="G12" s="88" t="s">
        <v>21</v>
      </c>
      <c r="H12" s="1"/>
      <c r="I12" s="1"/>
      <c r="J12" s="1"/>
      <c r="K12" s="1"/>
      <c r="L12" s="92" t="s">
        <v>25</v>
      </c>
      <c r="M12" s="93">
        <f>+F12/O12</f>
        <v>588629.06400000001</v>
      </c>
      <c r="N12" s="94" t="s">
        <v>26</v>
      </c>
      <c r="O12" s="89">
        <v>0.88</v>
      </c>
      <c r="P12" s="1"/>
      <c r="Q12" s="19"/>
      <c r="R12" s="1"/>
      <c r="S12" s="1"/>
      <c r="T12" s="1"/>
      <c r="U12" s="12"/>
      <c r="V12" s="12"/>
      <c r="W12" s="81" t="s">
        <v>115</v>
      </c>
      <c r="X12" s="81"/>
      <c r="Y12" s="81"/>
      <c r="Z12" s="81"/>
      <c r="AA12" s="58">
        <v>0</v>
      </c>
      <c r="AB12" s="80" t="s">
        <v>116</v>
      </c>
      <c r="AC12" s="80"/>
      <c r="AD12" s="80"/>
      <c r="AE12" s="80"/>
      <c r="AF12" s="80"/>
      <c r="AG12" s="80"/>
      <c r="AH12" s="80"/>
      <c r="AI12" s="80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</row>
    <row r="13" spans="1:47" ht="14.4" x14ac:dyDescent="0.3">
      <c r="A13" s="1"/>
      <c r="B13" s="1"/>
      <c r="C13" s="2"/>
      <c r="D13" s="2" t="s">
        <v>27</v>
      </c>
      <c r="E13" s="15">
        <f>4.7%*(1-$E$5)</f>
        <v>4.0419999999999998E-2</v>
      </c>
      <c r="F13" s="90"/>
      <c r="G13" s="90"/>
      <c r="H13" s="1"/>
      <c r="I13" s="1"/>
      <c r="J13" s="1"/>
      <c r="K13" s="1"/>
      <c r="L13" s="90"/>
      <c r="M13" s="90"/>
      <c r="N13" s="90"/>
      <c r="O13" s="90"/>
      <c r="P13" s="1"/>
      <c r="Q13" s="1"/>
      <c r="R13" s="1"/>
      <c r="S13" s="1"/>
      <c r="T13" s="1"/>
      <c r="U13" s="12"/>
      <c r="V13" s="12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</row>
    <row r="14" spans="1:47" ht="14.4" x14ac:dyDescent="0.3">
      <c r="A14" s="1"/>
      <c r="B14" s="1"/>
      <c r="C14" s="2"/>
      <c r="D14" s="2" t="s">
        <v>28</v>
      </c>
      <c r="E14" s="15">
        <f>100%-SUM(E5:E13,E15)</f>
        <v>1.3759999999999994E-2</v>
      </c>
      <c r="F14" s="1"/>
      <c r="G14" s="1"/>
      <c r="H14" s="1"/>
      <c r="I14" s="1"/>
      <c r="J14" s="1"/>
      <c r="K14" s="1"/>
      <c r="L14" s="5" t="s">
        <v>29</v>
      </c>
      <c r="M14" s="1"/>
      <c r="N14" s="1"/>
      <c r="O14" s="1"/>
      <c r="P14" s="1"/>
      <c r="Q14" s="1"/>
      <c r="R14" s="1"/>
      <c r="S14" s="1"/>
      <c r="T14" s="1"/>
      <c r="U14" s="12"/>
      <c r="V14" s="12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</row>
    <row r="15" spans="1:47" x14ac:dyDescent="0.3">
      <c r="A15" s="1"/>
      <c r="B15" s="1"/>
      <c r="C15" s="1"/>
      <c r="D15" s="2" t="s">
        <v>30</v>
      </c>
      <c r="E15" s="15">
        <f>2.7%*(1-$E$5)</f>
        <v>2.3220000000000001E-2</v>
      </c>
      <c r="F15" s="1"/>
      <c r="G15" s="6">
        <f>+E15*F2</f>
        <v>55279.946880000003</v>
      </c>
      <c r="H15" s="18" t="s">
        <v>31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2"/>
      <c r="V15" s="12"/>
      <c r="W15" s="85" t="s">
        <v>117</v>
      </c>
      <c r="X15" s="85"/>
      <c r="Y15" s="85"/>
      <c r="Z15" s="85"/>
      <c r="AA15" s="66">
        <f>IFERROR(IRR(AH30:AH50),"Sem TIR")</f>
        <v>0.10890922255529567</v>
      </c>
      <c r="AB15" s="56"/>
      <c r="AC15" s="83" t="s">
        <v>118</v>
      </c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</row>
    <row r="16" spans="1:47" ht="15.6" thickBo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2"/>
      <c r="V16" s="12"/>
      <c r="W16" s="85" t="s">
        <v>119</v>
      </c>
      <c r="X16" s="85"/>
      <c r="Y16" s="85"/>
      <c r="Z16" s="85"/>
      <c r="AA16" s="67">
        <f>NPV($AA$9,AH31:AH50)+AH30</f>
        <v>26.860029671611528</v>
      </c>
      <c r="AB16" s="56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</row>
    <row r="17" spans="1:47" ht="15.6" thickBot="1" x14ac:dyDescent="0.35">
      <c r="A17" s="1"/>
      <c r="B17" s="1"/>
      <c r="C17" s="45" t="s">
        <v>85</v>
      </c>
      <c r="D17" s="44">
        <v>5</v>
      </c>
      <c r="E17" s="46" t="s">
        <v>86</v>
      </c>
      <c r="F17" s="1"/>
      <c r="G17" s="1"/>
      <c r="H17" s="23" t="s">
        <v>32</v>
      </c>
      <c r="I17" s="23" t="s">
        <v>33</v>
      </c>
      <c r="J17" s="23">
        <v>65</v>
      </c>
      <c r="K17" s="23" t="s">
        <v>34</v>
      </c>
      <c r="L17" s="1"/>
      <c r="M17" s="24"/>
      <c r="N17" s="1"/>
      <c r="O17" s="1"/>
      <c r="P17" s="1"/>
      <c r="Q17" s="1"/>
      <c r="R17" s="1"/>
      <c r="S17" s="1"/>
      <c r="T17" s="1"/>
      <c r="U17" s="12"/>
      <c r="V17" s="12"/>
      <c r="W17" s="85" t="s">
        <v>120</v>
      </c>
      <c r="X17" s="85"/>
      <c r="Y17" s="85"/>
      <c r="Z17" s="85"/>
      <c r="AA17" s="67">
        <f>IF(COUNT(AR31:AR50)=0,"Não recupera em 20 anos",SUM(AR31:AR50))</f>
        <v>8.1162095281185582</v>
      </c>
      <c r="AB17" s="56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</row>
    <row r="18" spans="1:47" ht="15.6" thickBot="1" x14ac:dyDescent="0.35">
      <c r="A18" s="1"/>
      <c r="B18" s="1"/>
      <c r="F18" s="1"/>
      <c r="G18" s="1"/>
      <c r="H18" s="1" t="s">
        <v>32</v>
      </c>
      <c r="I18" s="1" t="s">
        <v>33</v>
      </c>
      <c r="J18" s="1">
        <f>+J17/60/D17*1000</f>
        <v>216.66666666666666</v>
      </c>
      <c r="K18" s="1" t="s">
        <v>35</v>
      </c>
      <c r="L18" s="1" t="s">
        <v>36</v>
      </c>
      <c r="M18" s="24">
        <f>+J18*F2/1000000</f>
        <v>515.81920000000002</v>
      </c>
      <c r="N18" s="18" t="s">
        <v>5</v>
      </c>
      <c r="O18" s="1"/>
      <c r="P18" s="1"/>
      <c r="Q18" s="1"/>
      <c r="R18" s="1"/>
      <c r="S18" s="1"/>
      <c r="T18" s="1"/>
      <c r="U18" s="12"/>
      <c r="V18" s="12"/>
      <c r="W18" s="85" t="s">
        <v>121</v>
      </c>
      <c r="X18" s="85"/>
      <c r="Y18" s="85"/>
      <c r="Z18" s="85"/>
      <c r="AA18" s="67">
        <f>IF(COUNT(AS31:AS50)=0,"Não recupera em 20 anos",SUM(AS31:AS50))</f>
        <v>17.837897573252508</v>
      </c>
      <c r="AB18" s="56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</row>
    <row r="19" spans="1:47" ht="15.6" thickBot="1" x14ac:dyDescent="0.35">
      <c r="A19" s="1"/>
      <c r="B19" s="1"/>
      <c r="C19" s="38" t="s">
        <v>37</v>
      </c>
      <c r="D19" s="25">
        <v>2.69</v>
      </c>
      <c r="E19" s="26" t="s">
        <v>38</v>
      </c>
      <c r="F19" s="39">
        <f>+M20</f>
        <v>538.00002901175503</v>
      </c>
      <c r="G19" s="40" t="s">
        <v>5</v>
      </c>
      <c r="H19" s="1" t="s">
        <v>39</v>
      </c>
      <c r="I19" s="1" t="s">
        <v>33</v>
      </c>
      <c r="J19" s="22">
        <f>+J18*4</f>
        <v>866.66666666666663</v>
      </c>
      <c r="K19" s="1" t="s">
        <v>35</v>
      </c>
      <c r="L19" s="1" t="s">
        <v>36</v>
      </c>
      <c r="M19" s="24">
        <f>+J19*G15/1000000</f>
        <v>47.909287296000002</v>
      </c>
      <c r="N19" s="18" t="s">
        <v>5</v>
      </c>
      <c r="O19" s="1"/>
      <c r="P19" s="13">
        <f t="shared" ref="P19:P22" si="1">+M19/SUM($M$19:$M$22)</f>
        <v>6.7114318257013847E-2</v>
      </c>
      <c r="Q19" s="1"/>
      <c r="R19" s="1"/>
      <c r="S19" s="1"/>
      <c r="T19" s="1"/>
      <c r="U19" s="12"/>
      <c r="V19" s="12"/>
      <c r="W19" s="85" t="s">
        <v>122</v>
      </c>
      <c r="X19" s="85"/>
      <c r="Y19" s="85"/>
      <c r="Z19" s="85"/>
      <c r="AA19" s="66">
        <f>IF(AA5&gt;0,AA6/AA5,"Não aplicável")</f>
        <v>0.20693368069433485</v>
      </c>
      <c r="AB19" s="56"/>
      <c r="AC19" s="83" t="s">
        <v>123</v>
      </c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</row>
    <row r="20" spans="1:47" ht="17.399999999999999" thickBot="1" x14ac:dyDescent="0.35">
      <c r="A20" s="1"/>
      <c r="B20" s="1"/>
      <c r="C20" s="38" t="s">
        <v>82</v>
      </c>
      <c r="D20" s="27">
        <f>+D19-D21</f>
        <v>0.62800000000000011</v>
      </c>
      <c r="E20" s="18" t="s">
        <v>42</v>
      </c>
      <c r="F20" s="42">
        <f>+D20*Q10/1000/D17</f>
        <v>125.60000677300454</v>
      </c>
      <c r="G20" s="41" t="s">
        <v>5</v>
      </c>
      <c r="H20" s="1" t="s">
        <v>40</v>
      </c>
      <c r="I20" s="1" t="s">
        <v>33</v>
      </c>
      <c r="J20" s="1">
        <f>+D19*1000/D17</f>
        <v>538</v>
      </c>
      <c r="K20" s="1" t="s">
        <v>41</v>
      </c>
      <c r="L20" s="1" t="s">
        <v>36</v>
      </c>
      <c r="M20" s="24">
        <f>+J20*Q10/1000000</f>
        <v>538.00002901175503</v>
      </c>
      <c r="N20" s="18" t="s">
        <v>5</v>
      </c>
      <c r="O20" s="1"/>
      <c r="P20" s="13">
        <f t="shared" si="1"/>
        <v>0.75366400143448309</v>
      </c>
      <c r="Q20" s="1"/>
      <c r="R20" s="1"/>
      <c r="S20" s="1"/>
      <c r="T20" s="1"/>
      <c r="U20" s="12"/>
      <c r="V20" s="12"/>
      <c r="W20" s="85" t="s">
        <v>124</v>
      </c>
      <c r="X20" s="85"/>
      <c r="Y20" s="85"/>
      <c r="Z20" s="85"/>
      <c r="AA20" s="66">
        <f>AP31</f>
        <v>7.7827153041256522E-2</v>
      </c>
      <c r="AB20" s="56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</row>
    <row r="21" spans="1:47" ht="15.75" customHeight="1" x14ac:dyDescent="0.3">
      <c r="A21" s="1"/>
      <c r="B21" s="1"/>
      <c r="C21" s="38" t="s">
        <v>84</v>
      </c>
      <c r="D21" s="25">
        <v>2.0619999999999998</v>
      </c>
      <c r="E21" s="26" t="s">
        <v>38</v>
      </c>
      <c r="H21" s="1" t="s">
        <v>25</v>
      </c>
      <c r="I21" s="1" t="s">
        <v>33</v>
      </c>
      <c r="J21" s="22">
        <f>J18</f>
        <v>216.66666666666666</v>
      </c>
      <c r="K21" s="1" t="s">
        <v>35</v>
      </c>
      <c r="L21" s="1" t="s">
        <v>36</v>
      </c>
      <c r="M21" s="24">
        <f>+J21*M12/1000000</f>
        <v>127.53629720000001</v>
      </c>
      <c r="N21" s="18" t="s">
        <v>5</v>
      </c>
      <c r="O21" s="1"/>
      <c r="P21" s="13">
        <f t="shared" si="1"/>
        <v>0.17866080091566183</v>
      </c>
      <c r="Q21" s="1"/>
      <c r="R21" s="1"/>
      <c r="S21" s="1"/>
      <c r="T21" s="1"/>
      <c r="U21" s="12"/>
      <c r="V21" s="12"/>
      <c r="W21" s="85" t="s">
        <v>125</v>
      </c>
      <c r="X21" s="85"/>
      <c r="Y21" s="85"/>
      <c r="Z21" s="85"/>
      <c r="AA21" s="66">
        <f>AQ31</f>
        <v>0.11791992885038866</v>
      </c>
      <c r="AB21" s="56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</row>
    <row r="22" spans="1:47" ht="15.75" customHeight="1" thickBot="1" x14ac:dyDescent="0.35">
      <c r="A22" s="1"/>
      <c r="B22" s="1"/>
      <c r="C22" s="1"/>
      <c r="D22" s="1"/>
      <c r="E22" s="1"/>
      <c r="F22" s="1"/>
      <c r="G22" s="1"/>
      <c r="H22" s="23" t="s">
        <v>43</v>
      </c>
      <c r="I22" s="23" t="s">
        <v>33</v>
      </c>
      <c r="J22" s="28">
        <v>25</v>
      </c>
      <c r="K22" s="23" t="s">
        <v>35</v>
      </c>
      <c r="L22" s="1" t="s">
        <v>36</v>
      </c>
      <c r="M22" s="24">
        <f>+J22*S10/1000000</f>
        <v>0.40038150826666663</v>
      </c>
      <c r="N22" s="18" t="s">
        <v>5</v>
      </c>
      <c r="O22" s="1"/>
      <c r="P22" s="13">
        <f t="shared" si="1"/>
        <v>5.6087939284114126E-4</v>
      </c>
      <c r="Q22" s="1"/>
      <c r="R22" s="1"/>
      <c r="S22" s="1"/>
      <c r="T22" s="1"/>
      <c r="U22" s="12"/>
      <c r="V22" s="12"/>
      <c r="W22" s="85" t="s">
        <v>126</v>
      </c>
      <c r="X22" s="85"/>
      <c r="Y22" s="85"/>
      <c r="Z22" s="85"/>
      <c r="AA22" s="66">
        <f>AT31</f>
        <v>7.7827153041256522E-2</v>
      </c>
      <c r="AB22" s="56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</row>
    <row r="23" spans="1:47" ht="15.75" customHeight="1" thickBot="1" x14ac:dyDescent="0.35">
      <c r="A23" s="1"/>
      <c r="B23" s="1"/>
      <c r="C23" s="53" t="s">
        <v>44</v>
      </c>
      <c r="D23" s="73">
        <f>'Etanol Milho'!AA15</f>
        <v>0.10890922255529567</v>
      </c>
      <c r="E23" s="1"/>
      <c r="H23" s="1"/>
      <c r="I23" s="1"/>
      <c r="J23" s="1"/>
      <c r="K23" s="1"/>
      <c r="L23" s="1"/>
      <c r="M23" s="24"/>
      <c r="N23" s="1"/>
      <c r="O23" s="1"/>
      <c r="P23" s="1"/>
      <c r="Q23" s="1"/>
      <c r="R23" s="1"/>
      <c r="S23" s="1"/>
      <c r="T23" s="1"/>
      <c r="U23" s="12"/>
      <c r="V23" s="12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</row>
    <row r="24" spans="1:47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2"/>
      <c r="V24" s="12"/>
      <c r="W24" s="81" t="s">
        <v>127</v>
      </c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</row>
    <row r="25" spans="1:47" ht="15.75" customHeight="1" x14ac:dyDescent="0.3">
      <c r="A25" s="1"/>
      <c r="B25" s="1"/>
      <c r="C25" s="1"/>
      <c r="D25" s="1"/>
      <c r="E25" s="2" t="s">
        <v>45</v>
      </c>
      <c r="F25" s="30">
        <f>+(M18-M21-M22-M19)</f>
        <v>339.97323399573332</v>
      </c>
      <c r="G25" s="18" t="s">
        <v>5</v>
      </c>
      <c r="H25" s="13">
        <f t="shared" ref="H25:H33" si="2">+F25/$F$35</f>
        <v>0.73022503061898858</v>
      </c>
      <c r="I25" s="1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2"/>
      <c r="V25" s="12"/>
      <c r="W25" s="81" t="s">
        <v>128</v>
      </c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</row>
    <row r="26" spans="1:47" ht="15.75" customHeight="1" x14ac:dyDescent="0.3">
      <c r="A26" s="1"/>
      <c r="B26" s="1"/>
      <c r="C26" s="1"/>
      <c r="D26" s="1"/>
      <c r="E26" s="2" t="s">
        <v>46</v>
      </c>
      <c r="F26" s="47">
        <v>7</v>
      </c>
      <c r="G26" s="18" t="s">
        <v>5</v>
      </c>
      <c r="H26" s="13">
        <f t="shared" si="2"/>
        <v>1.5035228374469828E-2</v>
      </c>
      <c r="I26" s="13">
        <f>+SUM(H25:H27)</f>
        <v>0.7557849188555873</v>
      </c>
      <c r="J26" s="18" t="s">
        <v>47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2"/>
      <c r="V26" s="12"/>
      <c r="W26" s="81" t="s">
        <v>129</v>
      </c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</row>
    <row r="27" spans="1:47" ht="15.75" customHeight="1" x14ac:dyDescent="0.3">
      <c r="A27" s="1"/>
      <c r="B27" s="1"/>
      <c r="C27" s="1"/>
      <c r="D27" s="21"/>
      <c r="E27" s="2" t="s">
        <v>48</v>
      </c>
      <c r="F27" s="30">
        <f>+F26*0.7</f>
        <v>4.8999999999999995</v>
      </c>
      <c r="G27" s="18" t="s">
        <v>5</v>
      </c>
      <c r="H27" s="13">
        <f t="shared" si="2"/>
        <v>1.0524659862128879E-2</v>
      </c>
      <c r="I27" s="1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2"/>
      <c r="V27" s="12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</row>
    <row r="28" spans="1:47" ht="15.75" customHeight="1" x14ac:dyDescent="0.3">
      <c r="A28" s="1"/>
      <c r="B28" s="1"/>
      <c r="C28" s="1"/>
      <c r="D28" s="1"/>
      <c r="E28" s="2" t="s">
        <v>49</v>
      </c>
      <c r="F28" s="30">
        <f>+F20-F26-F27-F29-F30-F33-F31-F32</f>
        <v>25.892956773004528</v>
      </c>
      <c r="G28" s="18" t="s">
        <v>5</v>
      </c>
      <c r="H28" s="13">
        <f t="shared" si="2"/>
        <v>5.561521691034263E-2</v>
      </c>
      <c r="I28" s="13">
        <f>+SUM(H25:H28)</f>
        <v>0.81140013576592995</v>
      </c>
      <c r="J28" s="18" t="s">
        <v>50</v>
      </c>
      <c r="K28" s="1"/>
      <c r="L28" s="1"/>
      <c r="M28" s="1"/>
      <c r="N28" s="1"/>
      <c r="O28" s="29">
        <v>500</v>
      </c>
      <c r="P28" s="26" t="s">
        <v>51</v>
      </c>
      <c r="Q28" s="1"/>
      <c r="R28" s="1"/>
      <c r="S28" s="1"/>
      <c r="T28" s="1"/>
      <c r="U28" s="12"/>
      <c r="V28" s="12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</row>
    <row r="29" spans="1:47" ht="15.75" customHeight="1" x14ac:dyDescent="0.3">
      <c r="A29" s="1"/>
      <c r="B29" s="1"/>
      <c r="C29" s="1"/>
      <c r="D29" s="1"/>
      <c r="E29" s="2" t="s">
        <v>52</v>
      </c>
      <c r="F29" s="47">
        <v>2</v>
      </c>
      <c r="G29" s="18" t="s">
        <v>5</v>
      </c>
      <c r="H29" s="13">
        <f t="shared" si="2"/>
        <v>4.2957795355628081E-3</v>
      </c>
      <c r="I29" s="21"/>
      <c r="J29" s="1"/>
      <c r="K29" s="1"/>
      <c r="L29" s="1"/>
      <c r="M29" s="1"/>
      <c r="N29" s="1"/>
      <c r="O29" s="30">
        <f>F28*1000000/O28/13000</f>
        <v>3.9835318112314657</v>
      </c>
      <c r="P29" s="18" t="s">
        <v>53</v>
      </c>
      <c r="Q29" s="1"/>
      <c r="R29" s="1"/>
      <c r="S29" s="1"/>
      <c r="T29" s="1"/>
      <c r="U29" s="12"/>
      <c r="V29" s="12"/>
      <c r="W29" s="65" t="s">
        <v>130</v>
      </c>
      <c r="X29" s="65" t="s">
        <v>131</v>
      </c>
      <c r="Y29" s="65" t="s">
        <v>132</v>
      </c>
      <c r="Z29" s="65" t="s">
        <v>133</v>
      </c>
      <c r="AA29" s="65" t="s">
        <v>134</v>
      </c>
      <c r="AB29" s="65" t="s">
        <v>135</v>
      </c>
      <c r="AC29" s="65" t="s">
        <v>136</v>
      </c>
      <c r="AD29" s="65" t="s">
        <v>137</v>
      </c>
      <c r="AE29" s="65" t="s">
        <v>138</v>
      </c>
      <c r="AF29" s="65" t="s">
        <v>139</v>
      </c>
      <c r="AG29" s="65" t="s">
        <v>140</v>
      </c>
      <c r="AH29" s="65" t="s">
        <v>141</v>
      </c>
      <c r="AI29" s="65" t="s">
        <v>142</v>
      </c>
      <c r="AJ29" s="65" t="s">
        <v>143</v>
      </c>
      <c r="AK29" s="65" t="s">
        <v>144</v>
      </c>
      <c r="AL29" s="65" t="s">
        <v>145</v>
      </c>
      <c r="AM29" s="65" t="s">
        <v>146</v>
      </c>
      <c r="AN29" s="65" t="s">
        <v>147</v>
      </c>
      <c r="AO29" s="65" t="s">
        <v>148</v>
      </c>
      <c r="AP29" s="65" t="s">
        <v>149</v>
      </c>
      <c r="AQ29" s="65" t="s">
        <v>150</v>
      </c>
      <c r="AR29" s="65" t="s">
        <v>151</v>
      </c>
      <c r="AS29" s="65" t="s">
        <v>152</v>
      </c>
      <c r="AT29" s="65" t="s">
        <v>153</v>
      </c>
      <c r="AU29" s="65" t="s">
        <v>154</v>
      </c>
    </row>
    <row r="30" spans="1:47" ht="15.75" customHeight="1" x14ac:dyDescent="0.3">
      <c r="A30" s="1"/>
      <c r="B30" s="1"/>
      <c r="C30" s="1"/>
      <c r="D30" s="1"/>
      <c r="E30" s="2" t="s">
        <v>54</v>
      </c>
      <c r="F30" s="30">
        <f>+F29*2</f>
        <v>4</v>
      </c>
      <c r="G30" s="18" t="s">
        <v>5</v>
      </c>
      <c r="H30" s="13">
        <f t="shared" si="2"/>
        <v>8.5915590711256162E-3</v>
      </c>
      <c r="I30" s="21"/>
      <c r="J30" s="1"/>
      <c r="K30" s="1"/>
      <c r="L30" s="1"/>
      <c r="M30" s="1"/>
      <c r="N30" s="1"/>
      <c r="O30" s="30">
        <f>O29*D17</f>
        <v>19.91765905615733</v>
      </c>
      <c r="P30" s="18" t="s">
        <v>55</v>
      </c>
      <c r="Q30" s="1"/>
      <c r="R30" s="1"/>
      <c r="S30" s="1"/>
      <c r="T30" s="1"/>
      <c r="U30" s="12"/>
      <c r="V30" s="12"/>
      <c r="W30" s="56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2">
        <v>0</v>
      </c>
      <c r="AE30" s="62">
        <f>$AA$10</f>
        <v>76.24540251564575</v>
      </c>
      <c r="AF30" s="62">
        <f>$AA$5</f>
        <v>350</v>
      </c>
      <c r="AG30" s="62">
        <v>0</v>
      </c>
      <c r="AH30" s="62">
        <f>-AE30-AF30</f>
        <v>-426.24540251564576</v>
      </c>
      <c r="AI30" s="62">
        <f>AH30</f>
        <v>-426.24540251564576</v>
      </c>
      <c r="AJ30" s="62">
        <f>AH30</f>
        <v>-426.24540251564576</v>
      </c>
      <c r="AK30" s="62">
        <f>AJ30</f>
        <v>-426.24540251564576</v>
      </c>
      <c r="AL30" s="62">
        <v>0</v>
      </c>
      <c r="AM30" s="62">
        <v>0</v>
      </c>
      <c r="AN30" s="62">
        <v>0</v>
      </c>
      <c r="AO30" s="62">
        <v>0</v>
      </c>
      <c r="AP30" s="61"/>
      <c r="AQ30" s="61"/>
      <c r="AR30" s="63"/>
      <c r="AS30" s="63"/>
      <c r="AT30" s="61"/>
      <c r="AU30" s="61"/>
    </row>
    <row r="31" spans="1:47" ht="15.75" customHeight="1" x14ac:dyDescent="0.3">
      <c r="A31" s="1"/>
      <c r="B31" s="112">
        <v>50</v>
      </c>
      <c r="C31" s="112"/>
      <c r="D31" s="112"/>
      <c r="E31" s="112"/>
      <c r="F31" s="30">
        <f>+B31*F1/1000000</f>
        <v>23.80705</v>
      </c>
      <c r="G31" s="18" t="s">
        <v>5</v>
      </c>
      <c r="H31" s="13">
        <f t="shared" si="2"/>
        <v>5.1134919096060272E-2</v>
      </c>
      <c r="I31" s="21"/>
      <c r="J31" s="1"/>
      <c r="K31" s="1"/>
      <c r="L31" s="1"/>
      <c r="M31" s="1"/>
      <c r="N31" s="1"/>
      <c r="O31" s="30">
        <f>O30/2</f>
        <v>9.9588295280786649</v>
      </c>
      <c r="P31" s="18" t="s">
        <v>57</v>
      </c>
      <c r="Q31" s="1"/>
      <c r="R31" s="1"/>
      <c r="S31" s="1"/>
      <c r="T31" s="1"/>
      <c r="U31" s="12"/>
      <c r="V31" s="12"/>
      <c r="W31" s="68">
        <v>1</v>
      </c>
      <c r="X31" s="69">
        <f t="shared" ref="X31:X50" si="3">$AA$6</f>
        <v>72.426788243017199</v>
      </c>
      <c r="Y31" s="69">
        <f t="shared" ref="Y31:Y50" si="4">IF(W31&lt;=$AA$8,$AA$5/$AA$8,0)+$AA$11/$AA$8*MIN(W31-1,$AA$8)</f>
        <v>23.333333333333332</v>
      </c>
      <c r="Z31" s="69">
        <f t="shared" ref="Z31:Z50" si="5">X31-Y31</f>
        <v>49.093454909683871</v>
      </c>
      <c r="AA31" s="69">
        <f t="shared" ref="AA31:AA50" si="6">MAX(Z31,0)*$AA$7</f>
        <v>16.691774669292517</v>
      </c>
      <c r="AB31" s="69">
        <f t="shared" ref="AB31:AB50" si="7">Z31-AA31</f>
        <v>32.401680240391357</v>
      </c>
      <c r="AC31" s="69">
        <f t="shared" ref="AC31:AC50" si="8">Y31</f>
        <v>23.333333333333332</v>
      </c>
      <c r="AD31" s="69">
        <f t="shared" ref="AD31:AD50" si="9">$AA$11</f>
        <v>3.5</v>
      </c>
      <c r="AE31" s="69">
        <f t="shared" ref="AE31:AE50" si="10">IF(W31=20,-$AA$10,0)</f>
        <v>0</v>
      </c>
      <c r="AF31" s="69">
        <f>0</f>
        <v>0</v>
      </c>
      <c r="AG31" s="69">
        <f t="shared" ref="AG31:AG50" si="11">IF(W31=20,$AA$12-MAX($AA$12-AM31,0)*$AA$7,0)</f>
        <v>0</v>
      </c>
      <c r="AH31" s="69">
        <f t="shared" ref="AH31:AH50" si="12">AB31+AC31-AD31-AE31-AF31+AG31</f>
        <v>52.235013573724686</v>
      </c>
      <c r="AI31" s="69">
        <f t="shared" ref="AI31:AI50" si="13">AI30+AH31</f>
        <v>-374.01038894192106</v>
      </c>
      <c r="AJ31" s="69">
        <f t="shared" ref="AJ31:AJ50" si="14">AH31/(1+$AA$9)^W31</f>
        <v>47.486375976113344</v>
      </c>
      <c r="AK31" s="69">
        <f t="shared" ref="AK31:AK50" si="15">AK30+AJ31</f>
        <v>-378.75902653953244</v>
      </c>
      <c r="AL31" s="69">
        <f>$AA$5</f>
        <v>350</v>
      </c>
      <c r="AM31" s="69">
        <f t="shared" ref="AM31:AM50" si="16">MAX(AL31+AD31-Y31,0)</f>
        <v>330.16666666666669</v>
      </c>
      <c r="AN31" s="69">
        <f t="shared" ref="AN31:AN50" si="17">AL31+$AA$10</f>
        <v>426.24540251564576</v>
      </c>
      <c r="AO31" s="69">
        <f t="shared" ref="AO31:AO50" si="18">AM31+$AA$10</f>
        <v>406.41206918231245</v>
      </c>
      <c r="AP31" s="70">
        <f t="shared" ref="AP31:AP50" si="19">IF(AVERAGE(AN31:AO31)&gt;0,AB31/AVERAGE(AN31:AO31),"Não aplicável")</f>
        <v>7.7827153041256522E-2</v>
      </c>
      <c r="AQ31" s="70">
        <f t="shared" ref="AQ31:AQ50" si="20">IF(AVERAGE(AN31:AO31)&gt;0,Z31/AVERAGE(AN31:AO31),"Não aplicável")</f>
        <v>0.11791992885038866</v>
      </c>
      <c r="AR31" s="71" t="str">
        <f>IF(AND(COUNT($AR$30:AR30)=0,AI30&lt;0,AI31&gt;=0,AH31&gt;0),W31-1-AI30/AH31,"")</f>
        <v/>
      </c>
      <c r="AS31" s="71" t="str">
        <f>IF(AND(COUNT($AS$30:AS30)=0,AK30&lt;0,AK31&gt;=0,AJ31&gt;0),W31-1-AK30/AJ31,"")</f>
        <v/>
      </c>
      <c r="AT31" s="70">
        <f t="shared" ref="AT31:AT50" si="21">IF(AVERAGE(AN31:AO31)&gt;0,AB31/AVERAGE(AN31:AO31),"Não aplicável")</f>
        <v>7.7827153041256522E-2</v>
      </c>
      <c r="AU31" s="70">
        <f t="shared" ref="AU31:AU50" si="22">IF($AA$5&gt;0,X31/$AA$5,"Não aplicável")</f>
        <v>0.20693368069433485</v>
      </c>
    </row>
    <row r="32" spans="1:47" ht="15.75" customHeight="1" x14ac:dyDescent="0.3">
      <c r="E32" s="2" t="s">
        <v>101</v>
      </c>
      <c r="F32" s="47">
        <v>40.5</v>
      </c>
      <c r="G32" s="18" t="s">
        <v>5</v>
      </c>
      <c r="H32" s="13">
        <f t="shared" si="2"/>
        <v>8.6989535595146869E-2</v>
      </c>
      <c r="K32" s="1"/>
      <c r="L32" s="1"/>
      <c r="M32" s="1"/>
      <c r="N32" s="1"/>
      <c r="O32" s="31"/>
      <c r="P32" s="1"/>
      <c r="Q32" s="1"/>
      <c r="R32" s="1"/>
      <c r="S32" s="1"/>
      <c r="T32" s="1"/>
      <c r="U32" s="12"/>
      <c r="V32" s="12"/>
      <c r="W32" s="56">
        <v>2</v>
      </c>
      <c r="X32" s="62">
        <f t="shared" si="3"/>
        <v>72.426788243017199</v>
      </c>
      <c r="Y32" s="62">
        <f t="shared" si="4"/>
        <v>23.566666666666666</v>
      </c>
      <c r="Z32" s="62">
        <f t="shared" si="5"/>
        <v>48.860121576350537</v>
      </c>
      <c r="AA32" s="62">
        <f t="shared" si="6"/>
        <v>16.612441335959183</v>
      </c>
      <c r="AB32" s="62">
        <f t="shared" si="7"/>
        <v>32.247680240391354</v>
      </c>
      <c r="AC32" s="62">
        <f t="shared" si="8"/>
        <v>23.566666666666666</v>
      </c>
      <c r="AD32" s="62">
        <f t="shared" si="9"/>
        <v>3.5</v>
      </c>
      <c r="AE32" s="62">
        <f t="shared" si="10"/>
        <v>0</v>
      </c>
      <c r="AF32" s="62">
        <f>0</f>
        <v>0</v>
      </c>
      <c r="AG32" s="62">
        <f t="shared" si="11"/>
        <v>0</v>
      </c>
      <c r="AH32" s="62">
        <f t="shared" si="12"/>
        <v>52.314346907058024</v>
      </c>
      <c r="AI32" s="62">
        <f t="shared" si="13"/>
        <v>-321.69604203486301</v>
      </c>
      <c r="AJ32" s="62">
        <f t="shared" si="14"/>
        <v>43.234997443849601</v>
      </c>
      <c r="AK32" s="62">
        <f t="shared" si="15"/>
        <v>-335.52402909568286</v>
      </c>
      <c r="AL32" s="62">
        <f t="shared" ref="AL32:AL50" si="23">AM31</f>
        <v>330.16666666666669</v>
      </c>
      <c r="AM32" s="62">
        <f t="shared" si="16"/>
        <v>310.10000000000002</v>
      </c>
      <c r="AN32" s="62">
        <f t="shared" si="17"/>
        <v>406.41206918231245</v>
      </c>
      <c r="AO32" s="62">
        <f t="shared" si="18"/>
        <v>386.34540251564579</v>
      </c>
      <c r="AP32" s="61">
        <f t="shared" si="19"/>
        <v>8.1355727045554146E-2</v>
      </c>
      <c r="AQ32" s="61">
        <f t="shared" si="20"/>
        <v>0.12326625309932447</v>
      </c>
      <c r="AR32" s="63" t="str">
        <f>IF(AND(COUNT($AR$30:AR31)=0,AI31&lt;0,AI32&gt;=0,AH32&gt;0),W32-1-AI31/AH32,"")</f>
        <v/>
      </c>
      <c r="AS32" s="63" t="str">
        <f>IF(AND(COUNT($AS$30:AS31)=0,AK31&lt;0,AK32&gt;=0,AJ32&gt;0),W32-1-AK31/AJ32,"")</f>
        <v/>
      </c>
      <c r="AT32" s="61">
        <f t="shared" si="21"/>
        <v>8.1355727045554146E-2</v>
      </c>
      <c r="AU32" s="61">
        <f t="shared" si="22"/>
        <v>0.20693368069433485</v>
      </c>
    </row>
    <row r="33" spans="1:47" ht="15.75" customHeight="1" x14ac:dyDescent="0.3">
      <c r="A33" s="1"/>
      <c r="B33" s="1"/>
      <c r="C33" s="1"/>
      <c r="D33" s="1"/>
      <c r="E33" s="2" t="s">
        <v>56</v>
      </c>
      <c r="F33" s="74">
        <f>F37/20</f>
        <v>17.5</v>
      </c>
      <c r="G33" s="18" t="s">
        <v>5</v>
      </c>
      <c r="H33" s="13">
        <f t="shared" si="2"/>
        <v>3.758807093617457E-2</v>
      </c>
      <c r="I33" s="1"/>
      <c r="J33" s="1"/>
      <c r="K33" s="1"/>
      <c r="L33" s="31"/>
      <c r="M33" s="1"/>
      <c r="N33" s="1"/>
      <c r="O33" s="1"/>
      <c r="P33" s="1"/>
      <c r="Q33" s="1"/>
      <c r="R33" s="1"/>
      <c r="S33" s="1"/>
      <c r="T33" s="1"/>
      <c r="U33" s="12"/>
      <c r="V33" s="12"/>
      <c r="W33" s="68">
        <v>3</v>
      </c>
      <c r="X33" s="69">
        <f t="shared" si="3"/>
        <v>72.426788243017199</v>
      </c>
      <c r="Y33" s="69">
        <f t="shared" si="4"/>
        <v>23.799999999999997</v>
      </c>
      <c r="Z33" s="69">
        <f t="shared" si="5"/>
        <v>48.626788243017202</v>
      </c>
      <c r="AA33" s="69">
        <f t="shared" si="6"/>
        <v>16.533108002625848</v>
      </c>
      <c r="AB33" s="69">
        <f t="shared" si="7"/>
        <v>32.09368024039135</v>
      </c>
      <c r="AC33" s="69">
        <f t="shared" si="8"/>
        <v>23.799999999999997</v>
      </c>
      <c r="AD33" s="69">
        <f t="shared" si="9"/>
        <v>3.5</v>
      </c>
      <c r="AE33" s="69">
        <f t="shared" si="10"/>
        <v>0</v>
      </c>
      <c r="AF33" s="69">
        <f>0</f>
        <v>0</v>
      </c>
      <c r="AG33" s="69">
        <f t="shared" si="11"/>
        <v>0</v>
      </c>
      <c r="AH33" s="69">
        <f t="shared" si="12"/>
        <v>52.393680240391348</v>
      </c>
      <c r="AI33" s="69">
        <f t="shared" si="13"/>
        <v>-269.30236179447166</v>
      </c>
      <c r="AJ33" s="69">
        <f t="shared" si="14"/>
        <v>39.364147438310539</v>
      </c>
      <c r="AK33" s="69">
        <f t="shared" si="15"/>
        <v>-296.15988165737235</v>
      </c>
      <c r="AL33" s="69">
        <f t="shared" si="23"/>
        <v>310.10000000000002</v>
      </c>
      <c r="AM33" s="69">
        <f t="shared" si="16"/>
        <v>289.8</v>
      </c>
      <c r="AN33" s="69">
        <f t="shared" si="17"/>
        <v>386.34540251564579</v>
      </c>
      <c r="AO33" s="69">
        <f t="shared" si="18"/>
        <v>366.04540251564578</v>
      </c>
      <c r="AP33" s="70">
        <f t="shared" si="19"/>
        <v>8.5311197387789944E-2</v>
      </c>
      <c r="AQ33" s="70">
        <f t="shared" si="20"/>
        <v>0.12925938998149994</v>
      </c>
      <c r="AR33" s="71" t="str">
        <f>IF(AND(COUNT($AR$30:AR32)=0,AI32&lt;0,AI33&gt;=0,AH33&gt;0),W33-1-AI32/AH33,"")</f>
        <v/>
      </c>
      <c r="AS33" s="71" t="str">
        <f>IF(AND(COUNT($AS$30:AS32)=0,AK32&lt;0,AK33&gt;=0,AJ33&gt;0),W33-1-AK32/AJ33,"")</f>
        <v/>
      </c>
      <c r="AT33" s="70">
        <f t="shared" si="21"/>
        <v>8.5311197387789944E-2</v>
      </c>
      <c r="AU33" s="70">
        <f t="shared" si="22"/>
        <v>0.20693368069433485</v>
      </c>
    </row>
    <row r="34" spans="1:47" ht="15.75" customHeight="1" x14ac:dyDescent="0.3">
      <c r="A34" s="1"/>
      <c r="B34" s="1"/>
      <c r="C34" s="1"/>
      <c r="D34" s="1"/>
      <c r="E34" s="1"/>
      <c r="F34" s="1"/>
      <c r="G34" s="18"/>
      <c r="H34" s="1"/>
      <c r="I34" s="1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2"/>
      <c r="V34" s="12"/>
      <c r="W34" s="56">
        <v>4</v>
      </c>
      <c r="X34" s="62">
        <f t="shared" si="3"/>
        <v>72.426788243017199</v>
      </c>
      <c r="Y34" s="62">
        <f t="shared" si="4"/>
        <v>24.033333333333331</v>
      </c>
      <c r="Z34" s="62">
        <f t="shared" si="5"/>
        <v>48.393454909683868</v>
      </c>
      <c r="AA34" s="62">
        <f t="shared" si="6"/>
        <v>16.453774669292518</v>
      </c>
      <c r="AB34" s="62">
        <f t="shared" si="7"/>
        <v>31.93968024039135</v>
      </c>
      <c r="AC34" s="62">
        <f t="shared" si="8"/>
        <v>24.033333333333331</v>
      </c>
      <c r="AD34" s="62">
        <f t="shared" si="9"/>
        <v>3.5</v>
      </c>
      <c r="AE34" s="62">
        <f t="shared" si="10"/>
        <v>0</v>
      </c>
      <c r="AF34" s="62">
        <f>0</f>
        <v>0</v>
      </c>
      <c r="AG34" s="62">
        <f t="shared" si="11"/>
        <v>0</v>
      </c>
      <c r="AH34" s="62">
        <f t="shared" si="12"/>
        <v>52.473013573724685</v>
      </c>
      <c r="AI34" s="62">
        <f t="shared" si="13"/>
        <v>-216.82934822074697</v>
      </c>
      <c r="AJ34" s="62">
        <f t="shared" si="14"/>
        <v>35.839774314407947</v>
      </c>
      <c r="AK34" s="62">
        <f t="shared" si="15"/>
        <v>-260.32010734296443</v>
      </c>
      <c r="AL34" s="62">
        <f t="shared" si="23"/>
        <v>289.8</v>
      </c>
      <c r="AM34" s="62">
        <f t="shared" si="16"/>
        <v>269.26666666666665</v>
      </c>
      <c r="AN34" s="62">
        <f t="shared" si="17"/>
        <v>366.04540251564578</v>
      </c>
      <c r="AO34" s="62">
        <f t="shared" si="18"/>
        <v>345.51206918231242</v>
      </c>
      <c r="AP34" s="61">
        <f t="shared" si="19"/>
        <v>8.977400002328724E-2</v>
      </c>
      <c r="AQ34" s="61">
        <f t="shared" si="20"/>
        <v>0.13602121215649582</v>
      </c>
      <c r="AR34" s="63" t="str">
        <f>IF(AND(COUNT($AR$30:AR33)=0,AI33&lt;0,AI34&gt;=0,AH34&gt;0),W34-1-AI33/AH34,"")</f>
        <v/>
      </c>
      <c r="AS34" s="63" t="str">
        <f>IF(AND(COUNT($AS$30:AS33)=0,AK33&lt;0,AK34&gt;=0,AJ34&gt;0),W34-1-AK33/AJ34,"")</f>
        <v/>
      </c>
      <c r="AT34" s="61">
        <f t="shared" si="21"/>
        <v>8.977400002328724E-2</v>
      </c>
      <c r="AU34" s="61">
        <f t="shared" si="22"/>
        <v>0.20693368069433485</v>
      </c>
    </row>
    <row r="35" spans="1:47" ht="15.75" customHeight="1" x14ac:dyDescent="0.3">
      <c r="A35" s="1"/>
      <c r="B35" s="95" t="s">
        <v>58</v>
      </c>
      <c r="C35" s="88"/>
      <c r="D35" s="88"/>
      <c r="E35" s="95"/>
      <c r="F35" s="30">
        <f>+SUM(F25:F33)</f>
        <v>465.57324076873783</v>
      </c>
      <c r="G35" s="18" t="s">
        <v>5</v>
      </c>
      <c r="H35" s="13"/>
      <c r="I35" s="3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2"/>
      <c r="V35" s="12"/>
      <c r="W35" s="68">
        <v>5</v>
      </c>
      <c r="X35" s="69">
        <f t="shared" si="3"/>
        <v>72.426788243017199</v>
      </c>
      <c r="Y35" s="69">
        <f t="shared" si="4"/>
        <v>24.266666666666666</v>
      </c>
      <c r="Z35" s="69">
        <f t="shared" si="5"/>
        <v>48.160121576350534</v>
      </c>
      <c r="AA35" s="69">
        <f t="shared" si="6"/>
        <v>16.374441335959183</v>
      </c>
      <c r="AB35" s="69">
        <f t="shared" si="7"/>
        <v>31.785680240391351</v>
      </c>
      <c r="AC35" s="69">
        <f t="shared" si="8"/>
        <v>24.266666666666666</v>
      </c>
      <c r="AD35" s="69">
        <f t="shared" si="9"/>
        <v>3.5</v>
      </c>
      <c r="AE35" s="69">
        <f t="shared" si="10"/>
        <v>0</v>
      </c>
      <c r="AF35" s="69">
        <f>0</f>
        <v>0</v>
      </c>
      <c r="AG35" s="69">
        <f t="shared" si="11"/>
        <v>0</v>
      </c>
      <c r="AH35" s="69">
        <f t="shared" si="12"/>
        <v>52.552346907058016</v>
      </c>
      <c r="AI35" s="69">
        <f t="shared" si="13"/>
        <v>-164.27700131368894</v>
      </c>
      <c r="AJ35" s="69">
        <f t="shared" si="14"/>
        <v>32.630872771394152</v>
      </c>
      <c r="AK35" s="69">
        <f t="shared" si="15"/>
        <v>-227.6892345715703</v>
      </c>
      <c r="AL35" s="69">
        <f t="shared" si="23"/>
        <v>269.26666666666665</v>
      </c>
      <c r="AM35" s="69">
        <f t="shared" si="16"/>
        <v>248.5</v>
      </c>
      <c r="AN35" s="69">
        <f t="shared" si="17"/>
        <v>345.51206918231242</v>
      </c>
      <c r="AO35" s="69">
        <f t="shared" si="18"/>
        <v>324.74540251564576</v>
      </c>
      <c r="AP35" s="70">
        <f t="shared" si="19"/>
        <v>9.4846179513281448E-2</v>
      </c>
      <c r="AQ35" s="70">
        <f t="shared" si="20"/>
        <v>0.14370633259588098</v>
      </c>
      <c r="AR35" s="71" t="str">
        <f>IF(AND(COUNT($AR$30:AR34)=0,AI34&lt;0,AI35&gt;=0,AH35&gt;0),W35-1-AI34/AH35,"")</f>
        <v/>
      </c>
      <c r="AS35" s="71" t="str">
        <f>IF(AND(COUNT($AS$30:AS34)=0,AK34&lt;0,AK35&gt;=0,AJ35&gt;0),W35-1-AK34/AJ35,"")</f>
        <v/>
      </c>
      <c r="AT35" s="70">
        <f t="shared" si="21"/>
        <v>9.4846179513281448E-2</v>
      </c>
      <c r="AU35" s="70">
        <f t="shared" si="22"/>
        <v>0.20693368069433485</v>
      </c>
    </row>
    <row r="36" spans="1:47" ht="15.75" customHeight="1" x14ac:dyDescent="0.3">
      <c r="A36" s="105" t="s">
        <v>192</v>
      </c>
      <c r="B36" s="105"/>
      <c r="C36" s="105"/>
      <c r="D36" s="105"/>
      <c r="E36" s="105"/>
      <c r="F36" s="30">
        <f>F19-F35</f>
        <v>72.426788243017199</v>
      </c>
      <c r="G36" s="18" t="s">
        <v>5</v>
      </c>
      <c r="H36" s="1"/>
      <c r="I36" s="5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2"/>
      <c r="V36" s="12"/>
      <c r="W36" s="56">
        <v>6</v>
      </c>
      <c r="X36" s="62">
        <f t="shared" si="3"/>
        <v>72.426788243017199</v>
      </c>
      <c r="Y36" s="62">
        <f t="shared" si="4"/>
        <v>24.5</v>
      </c>
      <c r="Z36" s="62">
        <f t="shared" si="5"/>
        <v>47.926788243017199</v>
      </c>
      <c r="AA36" s="62">
        <f t="shared" si="6"/>
        <v>16.295108002625849</v>
      </c>
      <c r="AB36" s="62">
        <f t="shared" si="7"/>
        <v>31.631680240391351</v>
      </c>
      <c r="AC36" s="62">
        <f t="shared" si="8"/>
        <v>24.5</v>
      </c>
      <c r="AD36" s="62">
        <f t="shared" si="9"/>
        <v>3.5</v>
      </c>
      <c r="AE36" s="62">
        <f t="shared" si="10"/>
        <v>0</v>
      </c>
      <c r="AF36" s="62">
        <f>0</f>
        <v>0</v>
      </c>
      <c r="AG36" s="62">
        <f t="shared" si="11"/>
        <v>0</v>
      </c>
      <c r="AH36" s="62">
        <f t="shared" si="12"/>
        <v>52.631680240391347</v>
      </c>
      <c r="AI36" s="62">
        <f t="shared" si="13"/>
        <v>-111.64532107329759</v>
      </c>
      <c r="AJ36" s="62">
        <f t="shared" si="14"/>
        <v>29.709211390627431</v>
      </c>
      <c r="AK36" s="62">
        <f t="shared" si="15"/>
        <v>-197.98002318094285</v>
      </c>
      <c r="AL36" s="62">
        <f t="shared" si="23"/>
        <v>248.5</v>
      </c>
      <c r="AM36" s="62">
        <f t="shared" si="16"/>
        <v>227.5</v>
      </c>
      <c r="AN36" s="62">
        <f t="shared" si="17"/>
        <v>324.74540251564576</v>
      </c>
      <c r="AO36" s="62">
        <f t="shared" si="18"/>
        <v>303.74540251564576</v>
      </c>
      <c r="AP36" s="61">
        <f t="shared" si="19"/>
        <v>0.1006591663304174</v>
      </c>
      <c r="AQ36" s="61">
        <f t="shared" si="20"/>
        <v>0.15251388837942029</v>
      </c>
      <c r="AR36" s="63" t="str">
        <f>IF(AND(COUNT($AR$30:AR35)=0,AI35&lt;0,AI36&gt;=0,AH36&gt;0),W36-1-AI35/AH36,"")</f>
        <v/>
      </c>
      <c r="AS36" s="63" t="str">
        <f>IF(AND(COUNT($AS$30:AS35)=0,AK35&lt;0,AK36&gt;=0,AJ36&gt;0),W36-1-AK35/AJ36,"")</f>
        <v/>
      </c>
      <c r="AT36" s="61">
        <f t="shared" si="21"/>
        <v>0.1006591663304174</v>
      </c>
      <c r="AU36" s="61">
        <f t="shared" si="22"/>
        <v>0.20693368069433485</v>
      </c>
    </row>
    <row r="37" spans="1:47" ht="15.75" customHeight="1" thickBot="1" x14ac:dyDescent="0.35">
      <c r="A37" s="1"/>
      <c r="B37" s="96" t="s">
        <v>87</v>
      </c>
      <c r="C37" s="88"/>
      <c r="D37" s="88"/>
      <c r="E37" s="96"/>
      <c r="F37" s="75">
        <v>350</v>
      </c>
      <c r="G37" s="51" t="s">
        <v>4</v>
      </c>
      <c r="H37" s="48"/>
      <c r="I37" s="3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2"/>
      <c r="V37" s="12"/>
      <c r="W37" s="68">
        <v>7</v>
      </c>
      <c r="X37" s="69">
        <f t="shared" si="3"/>
        <v>72.426788243017199</v>
      </c>
      <c r="Y37" s="69">
        <f t="shared" si="4"/>
        <v>24.733333333333331</v>
      </c>
      <c r="Z37" s="69">
        <f t="shared" si="5"/>
        <v>47.693454909683865</v>
      </c>
      <c r="AA37" s="69">
        <f t="shared" si="6"/>
        <v>16.215774669292514</v>
      </c>
      <c r="AB37" s="69">
        <f t="shared" si="7"/>
        <v>31.477680240391351</v>
      </c>
      <c r="AC37" s="69">
        <f t="shared" si="8"/>
        <v>24.733333333333331</v>
      </c>
      <c r="AD37" s="69">
        <f t="shared" si="9"/>
        <v>3.5</v>
      </c>
      <c r="AE37" s="69">
        <f t="shared" si="10"/>
        <v>0</v>
      </c>
      <c r="AF37" s="69">
        <f>0</f>
        <v>0</v>
      </c>
      <c r="AG37" s="69">
        <f t="shared" si="11"/>
        <v>0</v>
      </c>
      <c r="AH37" s="69">
        <f t="shared" si="12"/>
        <v>52.711013573724685</v>
      </c>
      <c r="AI37" s="69">
        <f t="shared" si="13"/>
        <v>-58.93430749957291</v>
      </c>
      <c r="AJ37" s="69">
        <f t="shared" si="14"/>
        <v>27.049084535525783</v>
      </c>
      <c r="AK37" s="69">
        <f t="shared" si="15"/>
        <v>-170.93093864541706</v>
      </c>
      <c r="AL37" s="69">
        <f t="shared" si="23"/>
        <v>227.5</v>
      </c>
      <c r="AM37" s="69">
        <f t="shared" si="16"/>
        <v>206.26666666666668</v>
      </c>
      <c r="AN37" s="69">
        <f t="shared" si="17"/>
        <v>303.74540251564576</v>
      </c>
      <c r="AO37" s="69">
        <f t="shared" si="18"/>
        <v>282.51206918231242</v>
      </c>
      <c r="AP37" s="70">
        <f t="shared" si="19"/>
        <v>0.10738517378456119</v>
      </c>
      <c r="AQ37" s="70">
        <f t="shared" si="20"/>
        <v>0.16270480876448665</v>
      </c>
      <c r="AR37" s="71" t="str">
        <f>IF(AND(COUNT($AR$30:AR36)=0,AI36&lt;0,AI37&gt;=0,AH37&gt;0),W37-1-AI36/AH37,"")</f>
        <v/>
      </c>
      <c r="AS37" s="71" t="str">
        <f>IF(AND(COUNT($AS$30:AS36)=0,AK36&lt;0,AK37&gt;=0,AJ37&gt;0),W37-1-AK36/AJ37,"")</f>
        <v/>
      </c>
      <c r="AT37" s="70">
        <f t="shared" si="21"/>
        <v>0.10738517378456119</v>
      </c>
      <c r="AU37" s="70">
        <f t="shared" si="22"/>
        <v>0.20693368069433485</v>
      </c>
    </row>
    <row r="38" spans="1:47" ht="15.75" customHeight="1" thickBot="1" x14ac:dyDescent="0.35">
      <c r="A38" s="1"/>
      <c r="B38" s="95" t="s">
        <v>97</v>
      </c>
      <c r="C38" s="88"/>
      <c r="D38" s="88"/>
      <c r="E38" s="95"/>
      <c r="F38" s="27">
        <f>F35/Q10*1000</f>
        <v>0.46557321566261134</v>
      </c>
      <c r="G38" s="18" t="s">
        <v>99</v>
      </c>
      <c r="H38" s="55">
        <f>F38*D17</f>
        <v>2.3278660783130567</v>
      </c>
      <c r="I38" s="43" t="s">
        <v>98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2"/>
      <c r="V38" s="12"/>
      <c r="W38" s="56">
        <v>8</v>
      </c>
      <c r="X38" s="62">
        <f t="shared" si="3"/>
        <v>72.426788243017199</v>
      </c>
      <c r="Y38" s="62">
        <f t="shared" si="4"/>
        <v>24.966666666666665</v>
      </c>
      <c r="Z38" s="62">
        <f t="shared" si="5"/>
        <v>47.460121576350531</v>
      </c>
      <c r="AA38" s="62">
        <f t="shared" si="6"/>
        <v>16.13644133595918</v>
      </c>
      <c r="AB38" s="62">
        <f t="shared" si="7"/>
        <v>31.323680240391351</v>
      </c>
      <c r="AC38" s="62">
        <f t="shared" si="8"/>
        <v>24.966666666666665</v>
      </c>
      <c r="AD38" s="62">
        <f t="shared" si="9"/>
        <v>3.5</v>
      </c>
      <c r="AE38" s="62">
        <f t="shared" si="10"/>
        <v>0</v>
      </c>
      <c r="AF38" s="62">
        <f>0</f>
        <v>0</v>
      </c>
      <c r="AG38" s="62">
        <f t="shared" si="11"/>
        <v>0</v>
      </c>
      <c r="AH38" s="62">
        <f t="shared" si="12"/>
        <v>52.790346907058016</v>
      </c>
      <c r="AI38" s="62">
        <f t="shared" si="13"/>
        <v>-6.1439605925148939</v>
      </c>
      <c r="AJ38" s="62">
        <f t="shared" si="14"/>
        <v>24.627086435974626</v>
      </c>
      <c r="AK38" s="62">
        <f t="shared" si="15"/>
        <v>-146.30385220944243</v>
      </c>
      <c r="AL38" s="62">
        <f t="shared" si="23"/>
        <v>206.26666666666668</v>
      </c>
      <c r="AM38" s="62">
        <f t="shared" si="16"/>
        <v>184.8</v>
      </c>
      <c r="AN38" s="62">
        <f t="shared" si="17"/>
        <v>282.51206918231242</v>
      </c>
      <c r="AO38" s="62">
        <f t="shared" si="18"/>
        <v>261.04540251564578</v>
      </c>
      <c r="AP38" s="61">
        <f t="shared" si="19"/>
        <v>0.11525434520306684</v>
      </c>
      <c r="AQ38" s="61">
        <f t="shared" si="20"/>
        <v>0.17462779576222248</v>
      </c>
      <c r="AR38" s="63" t="str">
        <f>IF(AND(COUNT($AR$30:AR37)=0,AI37&lt;0,AI38&gt;=0,AH38&gt;0),W38-1-AI37/AH38,"")</f>
        <v/>
      </c>
      <c r="AS38" s="63" t="str">
        <f>IF(AND(COUNT($AS$30:AS37)=0,AK37&lt;0,AK38&gt;=0,AJ38&gt;0),W38-1-AK37/AJ38,"")</f>
        <v/>
      </c>
      <c r="AT38" s="61">
        <f t="shared" si="21"/>
        <v>0.11525434520306684</v>
      </c>
      <c r="AU38" s="61">
        <f t="shared" si="22"/>
        <v>0.20693368069433485</v>
      </c>
    </row>
    <row r="39" spans="1:47" ht="15.75" customHeight="1" x14ac:dyDescent="0.3">
      <c r="A39" s="1"/>
      <c r="B39" s="97" t="s">
        <v>186</v>
      </c>
      <c r="C39" s="88"/>
      <c r="D39" s="88"/>
      <c r="E39" s="97"/>
      <c r="F39" s="30">
        <f>'Etanol Milho'!AA17</f>
        <v>8.1162095281185582</v>
      </c>
      <c r="G39" s="99" t="s">
        <v>193</v>
      </c>
      <c r="H39" s="88"/>
      <c r="I39" s="100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12"/>
      <c r="V39" s="12"/>
      <c r="W39" s="68">
        <v>9</v>
      </c>
      <c r="X39" s="69">
        <f t="shared" si="3"/>
        <v>72.426788243017199</v>
      </c>
      <c r="Y39" s="69">
        <f t="shared" si="4"/>
        <v>25.2</v>
      </c>
      <c r="Z39" s="69">
        <f t="shared" si="5"/>
        <v>47.226788243017197</v>
      </c>
      <c r="AA39" s="69">
        <f t="shared" si="6"/>
        <v>16.057108002625849</v>
      </c>
      <c r="AB39" s="69">
        <f t="shared" si="7"/>
        <v>31.169680240391347</v>
      </c>
      <c r="AC39" s="69">
        <f t="shared" si="8"/>
        <v>25.2</v>
      </c>
      <c r="AD39" s="69">
        <f t="shared" si="9"/>
        <v>3.5</v>
      </c>
      <c r="AE39" s="69">
        <f t="shared" si="10"/>
        <v>0</v>
      </c>
      <c r="AF39" s="69">
        <f>0</f>
        <v>0</v>
      </c>
      <c r="AG39" s="69">
        <f t="shared" si="11"/>
        <v>0</v>
      </c>
      <c r="AH39" s="69">
        <f t="shared" si="12"/>
        <v>52.869680240391347</v>
      </c>
      <c r="AI39" s="69">
        <f t="shared" si="13"/>
        <v>46.725719647876453</v>
      </c>
      <c r="AJ39" s="69">
        <f t="shared" si="14"/>
        <v>22.421905474064783</v>
      </c>
      <c r="AK39" s="69">
        <f t="shared" si="15"/>
        <v>-123.88194673537764</v>
      </c>
      <c r="AL39" s="69">
        <f t="shared" si="23"/>
        <v>184.8</v>
      </c>
      <c r="AM39" s="69">
        <f t="shared" si="16"/>
        <v>163.10000000000002</v>
      </c>
      <c r="AN39" s="69">
        <f t="shared" si="17"/>
        <v>261.04540251564578</v>
      </c>
      <c r="AO39" s="69">
        <f t="shared" si="18"/>
        <v>239.34540251564579</v>
      </c>
      <c r="AP39" s="70">
        <f t="shared" si="19"/>
        <v>0.12458134692719693</v>
      </c>
      <c r="AQ39" s="70">
        <f t="shared" si="20"/>
        <v>0.18875961655635901</v>
      </c>
      <c r="AR39" s="71">
        <f>IF(AND(COUNT($AR$30:AR38)=0,AI38&lt;0,AI39&gt;=0,AH39&gt;0),W39-1-AI38/AH39,"")</f>
        <v>8.1162095281185582</v>
      </c>
      <c r="AS39" s="71" t="str">
        <f>IF(AND(COUNT($AS$30:AS38)=0,AK38&lt;0,AK39&gt;=0,AJ39&gt;0),W39-1-AK38/AJ39,"")</f>
        <v/>
      </c>
      <c r="AT39" s="70">
        <f t="shared" si="21"/>
        <v>0.12458134692719693</v>
      </c>
      <c r="AU39" s="70">
        <f t="shared" si="22"/>
        <v>0.20693368069433485</v>
      </c>
    </row>
    <row r="40" spans="1:47" ht="15.75" customHeight="1" x14ac:dyDescent="0.3">
      <c r="A40" s="1"/>
      <c r="B40" s="97" t="s">
        <v>187</v>
      </c>
      <c r="C40" s="88"/>
      <c r="D40" s="88"/>
      <c r="E40" s="97"/>
      <c r="F40" s="30">
        <f>'Etanol Milho'!AA18</f>
        <v>17.837897573252508</v>
      </c>
      <c r="G40" s="99" t="s">
        <v>194</v>
      </c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12"/>
      <c r="V40" s="12"/>
      <c r="W40" s="56">
        <v>10</v>
      </c>
      <c r="X40" s="62">
        <f t="shared" si="3"/>
        <v>72.426788243017199</v>
      </c>
      <c r="Y40" s="62">
        <f t="shared" si="4"/>
        <v>25.433333333333334</v>
      </c>
      <c r="Z40" s="62">
        <f t="shared" si="5"/>
        <v>46.993454909683862</v>
      </c>
      <c r="AA40" s="62">
        <f t="shared" si="6"/>
        <v>15.977774669292515</v>
      </c>
      <c r="AB40" s="62">
        <f t="shared" si="7"/>
        <v>31.015680240391347</v>
      </c>
      <c r="AC40" s="62">
        <f t="shared" si="8"/>
        <v>25.433333333333334</v>
      </c>
      <c r="AD40" s="62">
        <f t="shared" si="9"/>
        <v>3.5</v>
      </c>
      <c r="AE40" s="62">
        <f t="shared" si="10"/>
        <v>0</v>
      </c>
      <c r="AF40" s="62">
        <f>0</f>
        <v>0</v>
      </c>
      <c r="AG40" s="62">
        <f t="shared" si="11"/>
        <v>0</v>
      </c>
      <c r="AH40" s="62">
        <f t="shared" si="12"/>
        <v>52.949013573724685</v>
      </c>
      <c r="AI40" s="62">
        <f t="shared" si="13"/>
        <v>99.674733221601144</v>
      </c>
      <c r="AJ40" s="62">
        <f t="shared" si="14"/>
        <v>20.414136865262726</v>
      </c>
      <c r="AK40" s="62">
        <f t="shared" si="15"/>
        <v>-103.46780987011491</v>
      </c>
      <c r="AL40" s="62">
        <f t="shared" si="23"/>
        <v>163.10000000000002</v>
      </c>
      <c r="AM40" s="62">
        <f t="shared" si="16"/>
        <v>141.16666666666669</v>
      </c>
      <c r="AN40" s="62">
        <f t="shared" si="17"/>
        <v>239.34540251564579</v>
      </c>
      <c r="AO40" s="62">
        <f t="shared" si="18"/>
        <v>217.41206918231245</v>
      </c>
      <c r="AP40" s="61">
        <f t="shared" si="19"/>
        <v>0.1358080914367667</v>
      </c>
      <c r="AQ40" s="61">
        <f t="shared" si="20"/>
        <v>0.2057698355102526</v>
      </c>
      <c r="AR40" s="63" t="str">
        <f>IF(AND(COUNT($AR$30:AR39)=0,AI39&lt;0,AI40&gt;=0,AH40&gt;0),W40-1-AI39/AH40,"")</f>
        <v/>
      </c>
      <c r="AS40" s="63" t="str">
        <f>IF(AND(COUNT($AS$30:AS39)=0,AK39&lt;0,AK40&gt;=0,AJ40&gt;0),W40-1-AK39/AJ40,"")</f>
        <v/>
      </c>
      <c r="AT40" s="61">
        <f t="shared" si="21"/>
        <v>0.1358080914367667</v>
      </c>
      <c r="AU40" s="61">
        <f t="shared" si="22"/>
        <v>0.20693368069433485</v>
      </c>
    </row>
    <row r="41" spans="1:47" ht="15.75" customHeight="1" x14ac:dyDescent="0.3">
      <c r="A41" s="1"/>
      <c r="B41" s="95" t="s">
        <v>89</v>
      </c>
      <c r="C41" s="88"/>
      <c r="D41" s="88"/>
      <c r="E41" s="95"/>
      <c r="F41" s="52">
        <f>Q10/F2*1000</f>
        <v>420.04384162214001</v>
      </c>
      <c r="G41" s="18" t="s">
        <v>88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2"/>
      <c r="V41" s="12"/>
      <c r="W41" s="68">
        <v>11</v>
      </c>
      <c r="X41" s="69">
        <f t="shared" si="3"/>
        <v>72.426788243017199</v>
      </c>
      <c r="Y41" s="69">
        <f t="shared" si="4"/>
        <v>25.666666666666664</v>
      </c>
      <c r="Z41" s="69">
        <f t="shared" si="5"/>
        <v>46.760121576350535</v>
      </c>
      <c r="AA41" s="69">
        <f t="shared" si="6"/>
        <v>15.898441335959182</v>
      </c>
      <c r="AB41" s="69">
        <f t="shared" si="7"/>
        <v>30.861680240391351</v>
      </c>
      <c r="AC41" s="69">
        <f t="shared" si="8"/>
        <v>25.666666666666664</v>
      </c>
      <c r="AD41" s="69">
        <f t="shared" si="9"/>
        <v>3.5</v>
      </c>
      <c r="AE41" s="69">
        <f t="shared" si="10"/>
        <v>0</v>
      </c>
      <c r="AF41" s="69">
        <f>0</f>
        <v>0</v>
      </c>
      <c r="AG41" s="69">
        <f t="shared" si="11"/>
        <v>0</v>
      </c>
      <c r="AH41" s="69">
        <f t="shared" si="12"/>
        <v>53.028346907058015</v>
      </c>
      <c r="AI41" s="69">
        <f t="shared" si="13"/>
        <v>152.70308012865917</v>
      </c>
      <c r="AJ41" s="69">
        <f t="shared" si="14"/>
        <v>18.586112090506788</v>
      </c>
      <c r="AK41" s="69">
        <f t="shared" si="15"/>
        <v>-84.881697779608118</v>
      </c>
      <c r="AL41" s="69">
        <f t="shared" si="23"/>
        <v>141.16666666666669</v>
      </c>
      <c r="AM41" s="69">
        <f t="shared" si="16"/>
        <v>119.00000000000003</v>
      </c>
      <c r="AN41" s="69">
        <f t="shared" si="17"/>
        <v>217.41206918231245</v>
      </c>
      <c r="AO41" s="69">
        <f t="shared" si="18"/>
        <v>195.24540251564576</v>
      </c>
      <c r="AP41" s="70">
        <f t="shared" si="19"/>
        <v>0.14957528874204098</v>
      </c>
      <c r="AQ41" s="70">
        <f t="shared" si="20"/>
        <v>0.22662922536672878</v>
      </c>
      <c r="AR41" s="71" t="str">
        <f>IF(AND(COUNT($AR$30:AR40)=0,AI40&lt;0,AI41&gt;=0,AH41&gt;0),W41-1-AI40/AH41,"")</f>
        <v/>
      </c>
      <c r="AS41" s="71" t="str">
        <f>IF(AND(COUNT($AS$30:AS40)=0,AK40&lt;0,AK41&gt;=0,AJ41&gt;0),W41-1-AK40/AJ41,"")</f>
        <v/>
      </c>
      <c r="AT41" s="70">
        <f t="shared" si="21"/>
        <v>0.14957528874204098</v>
      </c>
      <c r="AU41" s="70">
        <f t="shared" si="22"/>
        <v>0.20693368069433485</v>
      </c>
    </row>
    <row r="42" spans="1:47" ht="15.75" customHeight="1" x14ac:dyDescent="0.3">
      <c r="A42" s="1"/>
      <c r="B42" s="95" t="s">
        <v>91</v>
      </c>
      <c r="C42" s="88"/>
      <c r="D42" s="88"/>
      <c r="E42" s="95"/>
      <c r="F42" s="6">
        <f>Q10/O28</f>
        <v>2000.0001078503903</v>
      </c>
      <c r="G42" s="18" t="s">
        <v>92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2"/>
      <c r="V42" s="12"/>
      <c r="W42" s="56">
        <v>12</v>
      </c>
      <c r="X42" s="62">
        <f t="shared" si="3"/>
        <v>72.426788243017199</v>
      </c>
      <c r="Y42" s="62">
        <f t="shared" si="4"/>
        <v>25.9</v>
      </c>
      <c r="Z42" s="62">
        <f t="shared" si="5"/>
        <v>46.526788243017201</v>
      </c>
      <c r="AA42" s="62">
        <f t="shared" si="6"/>
        <v>15.81910800262585</v>
      </c>
      <c r="AB42" s="62">
        <f t="shared" si="7"/>
        <v>30.707680240391351</v>
      </c>
      <c r="AC42" s="62">
        <f t="shared" si="8"/>
        <v>25.9</v>
      </c>
      <c r="AD42" s="62">
        <f t="shared" si="9"/>
        <v>3.5</v>
      </c>
      <c r="AE42" s="62">
        <f t="shared" si="10"/>
        <v>0</v>
      </c>
      <c r="AF42" s="62">
        <f>0</f>
        <v>0</v>
      </c>
      <c r="AG42" s="62">
        <f t="shared" si="11"/>
        <v>0</v>
      </c>
      <c r="AH42" s="62">
        <f t="shared" si="12"/>
        <v>53.107680240391346</v>
      </c>
      <c r="AI42" s="62">
        <f t="shared" si="13"/>
        <v>205.81076036905051</v>
      </c>
      <c r="AJ42" s="62">
        <f t="shared" si="14"/>
        <v>16.921743581696038</v>
      </c>
      <c r="AK42" s="62">
        <f t="shared" si="15"/>
        <v>-67.959954197912083</v>
      </c>
      <c r="AL42" s="62">
        <f t="shared" si="23"/>
        <v>119.00000000000003</v>
      </c>
      <c r="AM42" s="62">
        <f t="shared" si="16"/>
        <v>96.600000000000023</v>
      </c>
      <c r="AN42" s="62">
        <f t="shared" si="17"/>
        <v>195.24540251564576</v>
      </c>
      <c r="AO42" s="62">
        <f t="shared" si="18"/>
        <v>172.84540251564579</v>
      </c>
      <c r="AP42" s="61">
        <f t="shared" si="19"/>
        <v>0.16684839621452038</v>
      </c>
      <c r="AQ42" s="61">
        <f t="shared" si="20"/>
        <v>0.25280060032503088</v>
      </c>
      <c r="AR42" s="63" t="str">
        <f>IF(AND(COUNT($AR$30:AR41)=0,AI41&lt;0,AI42&gt;=0,AH42&gt;0),W42-1-AI41/AH42,"")</f>
        <v/>
      </c>
      <c r="AS42" s="63" t="str">
        <f>IF(AND(COUNT($AS$30:AS41)=0,AK41&lt;0,AK42&gt;=0,AJ42&gt;0),W42-1-AK41/AJ42,"")</f>
        <v/>
      </c>
      <c r="AT42" s="61">
        <f t="shared" si="21"/>
        <v>0.16684839621452038</v>
      </c>
      <c r="AU42" s="61">
        <f t="shared" si="22"/>
        <v>0.20693368069433485</v>
      </c>
    </row>
    <row r="43" spans="1:47" ht="15.75" customHeight="1" x14ac:dyDescent="0.3">
      <c r="A43" s="1"/>
      <c r="B43" s="95" t="s">
        <v>195</v>
      </c>
      <c r="C43" s="88"/>
      <c r="D43" s="88"/>
      <c r="E43" s="95"/>
      <c r="F43" s="30">
        <f>F36/F35*100</f>
        <v>15.556475738044714</v>
      </c>
      <c r="G43" s="18" t="s">
        <v>90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2"/>
      <c r="V43" s="12"/>
      <c r="W43" s="68">
        <v>13</v>
      </c>
      <c r="X43" s="69">
        <f t="shared" si="3"/>
        <v>72.426788243017199</v>
      </c>
      <c r="Y43" s="69">
        <f t="shared" si="4"/>
        <v>26.133333333333333</v>
      </c>
      <c r="Z43" s="69">
        <f t="shared" si="5"/>
        <v>46.293454909683867</v>
      </c>
      <c r="AA43" s="69">
        <f t="shared" si="6"/>
        <v>15.739774669292515</v>
      </c>
      <c r="AB43" s="69">
        <f t="shared" si="7"/>
        <v>30.553680240391351</v>
      </c>
      <c r="AC43" s="69">
        <f t="shared" si="8"/>
        <v>26.133333333333333</v>
      </c>
      <c r="AD43" s="69">
        <f t="shared" si="9"/>
        <v>3.5</v>
      </c>
      <c r="AE43" s="69">
        <f t="shared" si="10"/>
        <v>0</v>
      </c>
      <c r="AF43" s="69">
        <f>0</f>
        <v>0</v>
      </c>
      <c r="AG43" s="69">
        <f t="shared" si="11"/>
        <v>0</v>
      </c>
      <c r="AH43" s="69">
        <f t="shared" si="12"/>
        <v>53.187013573724684</v>
      </c>
      <c r="AI43" s="69">
        <f t="shared" si="13"/>
        <v>258.99777394277521</v>
      </c>
      <c r="AJ43" s="69">
        <f t="shared" si="14"/>
        <v>15.406383296879754</v>
      </c>
      <c r="AK43" s="69">
        <f t="shared" si="15"/>
        <v>-52.55357090103233</v>
      </c>
      <c r="AL43" s="69">
        <f t="shared" si="23"/>
        <v>96.600000000000023</v>
      </c>
      <c r="AM43" s="69">
        <f t="shared" si="16"/>
        <v>73.966666666666697</v>
      </c>
      <c r="AN43" s="69">
        <f t="shared" si="17"/>
        <v>172.84540251564579</v>
      </c>
      <c r="AO43" s="69">
        <f t="shared" si="18"/>
        <v>150.21206918231246</v>
      </c>
      <c r="AP43" s="70">
        <f t="shared" si="19"/>
        <v>0.18915321834102283</v>
      </c>
      <c r="AQ43" s="70">
        <f t="shared" si="20"/>
        <v>0.28659578536518615</v>
      </c>
      <c r="AR43" s="71" t="str">
        <f>IF(AND(COUNT($AR$30:AR42)=0,AI42&lt;0,AI43&gt;=0,AH43&gt;0),W43-1-AI42/AH43,"")</f>
        <v/>
      </c>
      <c r="AS43" s="71" t="str">
        <f>IF(AND(COUNT($AS$30:AS42)=0,AK42&lt;0,AK43&gt;=0,AJ43&gt;0),W43-1-AK42/AJ43,"")</f>
        <v/>
      </c>
      <c r="AT43" s="70">
        <f t="shared" si="21"/>
        <v>0.18915321834102283</v>
      </c>
      <c r="AU43" s="70">
        <f t="shared" si="22"/>
        <v>0.20693368069433485</v>
      </c>
    </row>
    <row r="44" spans="1:47" ht="15.75" customHeight="1" x14ac:dyDescent="0.3">
      <c r="A44" s="1"/>
      <c r="B44" s="95" t="s">
        <v>93</v>
      </c>
      <c r="C44" s="88"/>
      <c r="D44" s="88"/>
      <c r="E44" s="95"/>
      <c r="F44" s="52">
        <f>F36/Q10*1000000</f>
        <v>72.426784337388725</v>
      </c>
      <c r="G44" s="18" t="s">
        <v>94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2"/>
      <c r="V44" s="12"/>
      <c r="W44" s="56">
        <v>14</v>
      </c>
      <c r="X44" s="62">
        <f t="shared" si="3"/>
        <v>72.426788243017199</v>
      </c>
      <c r="Y44" s="62">
        <f t="shared" si="4"/>
        <v>26.366666666666667</v>
      </c>
      <c r="Z44" s="62">
        <f t="shared" si="5"/>
        <v>46.060121576350532</v>
      </c>
      <c r="AA44" s="62">
        <f t="shared" si="6"/>
        <v>15.660441335959183</v>
      </c>
      <c r="AB44" s="62">
        <f t="shared" si="7"/>
        <v>30.399680240391348</v>
      </c>
      <c r="AC44" s="62">
        <f t="shared" si="8"/>
        <v>26.366666666666667</v>
      </c>
      <c r="AD44" s="62">
        <f t="shared" si="9"/>
        <v>3.5</v>
      </c>
      <c r="AE44" s="62">
        <f t="shared" si="10"/>
        <v>0</v>
      </c>
      <c r="AF44" s="62">
        <f>0</f>
        <v>0</v>
      </c>
      <c r="AG44" s="62">
        <f t="shared" si="11"/>
        <v>0</v>
      </c>
      <c r="AH44" s="62">
        <f t="shared" si="12"/>
        <v>53.266346907058015</v>
      </c>
      <c r="AI44" s="62">
        <f t="shared" si="13"/>
        <v>312.2641208498332</v>
      </c>
      <c r="AJ44" s="62">
        <f t="shared" si="14"/>
        <v>14.026693943338358</v>
      </c>
      <c r="AK44" s="62">
        <f t="shared" si="15"/>
        <v>-38.526876957693972</v>
      </c>
      <c r="AL44" s="62">
        <f t="shared" si="23"/>
        <v>73.966666666666697</v>
      </c>
      <c r="AM44" s="62">
        <f t="shared" si="16"/>
        <v>51.10000000000003</v>
      </c>
      <c r="AN44" s="62">
        <f t="shared" si="17"/>
        <v>150.21206918231246</v>
      </c>
      <c r="AO44" s="62">
        <f t="shared" si="18"/>
        <v>127.34540251564579</v>
      </c>
      <c r="AP44" s="61">
        <f t="shared" si="19"/>
        <v>0.21905142783165776</v>
      </c>
      <c r="AQ44" s="61">
        <f t="shared" si="20"/>
        <v>0.33189610277523907</v>
      </c>
      <c r="AR44" s="63" t="str">
        <f>IF(AND(COUNT($AR$30:AR43)=0,AI43&lt;0,AI44&gt;=0,AH44&gt;0),W44-1-AI43/AH44,"")</f>
        <v/>
      </c>
      <c r="AS44" s="63" t="str">
        <f>IF(AND(COUNT($AS$30:AS43)=0,AK43&lt;0,AK44&gt;=0,AJ44&gt;0),W44-1-AK43/AJ44,"")</f>
        <v/>
      </c>
      <c r="AT44" s="61">
        <f t="shared" si="21"/>
        <v>0.21905142783165776</v>
      </c>
      <c r="AU44" s="61">
        <f t="shared" si="22"/>
        <v>0.20693368069433485</v>
      </c>
    </row>
    <row r="45" spans="1:47" ht="15.75" customHeight="1" x14ac:dyDescent="0.3">
      <c r="A45" s="1"/>
      <c r="B45" s="95" t="s">
        <v>95</v>
      </c>
      <c r="C45" s="88"/>
      <c r="D45" s="88"/>
      <c r="E45" s="95"/>
      <c r="F45" s="52">
        <f>F36/F1*1000000</f>
        <v>152.11205975334448</v>
      </c>
      <c r="G45" s="18" t="s">
        <v>96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2"/>
      <c r="V45" s="12"/>
      <c r="W45" s="68">
        <v>15</v>
      </c>
      <c r="X45" s="69">
        <f t="shared" si="3"/>
        <v>72.426788243017199</v>
      </c>
      <c r="Y45" s="69">
        <f t="shared" si="4"/>
        <v>26.599999999999998</v>
      </c>
      <c r="Z45" s="69">
        <f t="shared" si="5"/>
        <v>45.826788243017205</v>
      </c>
      <c r="AA45" s="69">
        <f t="shared" si="6"/>
        <v>15.58110800262585</v>
      </c>
      <c r="AB45" s="69">
        <f t="shared" si="7"/>
        <v>30.245680240391355</v>
      </c>
      <c r="AC45" s="69">
        <f t="shared" si="8"/>
        <v>26.599999999999998</v>
      </c>
      <c r="AD45" s="69">
        <f t="shared" si="9"/>
        <v>3.5</v>
      </c>
      <c r="AE45" s="69">
        <f t="shared" si="10"/>
        <v>0</v>
      </c>
      <c r="AF45" s="69">
        <f>0</f>
        <v>0</v>
      </c>
      <c r="AG45" s="69">
        <f t="shared" si="11"/>
        <v>0</v>
      </c>
      <c r="AH45" s="69">
        <f t="shared" si="12"/>
        <v>53.345680240391353</v>
      </c>
      <c r="AI45" s="69">
        <f t="shared" si="13"/>
        <v>365.60980109022455</v>
      </c>
      <c r="AJ45" s="69">
        <f t="shared" si="14"/>
        <v>12.770531717739372</v>
      </c>
      <c r="AK45" s="69">
        <f t="shared" si="15"/>
        <v>-25.756345239954598</v>
      </c>
      <c r="AL45" s="69">
        <f t="shared" si="23"/>
        <v>51.10000000000003</v>
      </c>
      <c r="AM45" s="69">
        <f t="shared" si="16"/>
        <v>28.000000000000032</v>
      </c>
      <c r="AN45" s="69">
        <f t="shared" si="17"/>
        <v>127.34540251564579</v>
      </c>
      <c r="AO45" s="69">
        <f t="shared" si="18"/>
        <v>104.24540251564578</v>
      </c>
      <c r="AP45" s="70">
        <f t="shared" si="19"/>
        <v>0.26119931865433682</v>
      </c>
      <c r="AQ45" s="70">
        <f t="shared" si="20"/>
        <v>0.39575654341566185</v>
      </c>
      <c r="AR45" s="71" t="str">
        <f>IF(AND(COUNT($AR$30:AR44)=0,AI44&lt;0,AI45&gt;=0,AH45&gt;0),W45-1-AI44/AH45,"")</f>
        <v/>
      </c>
      <c r="AS45" s="71" t="str">
        <f>IF(AND(COUNT($AS$30:AS44)=0,AK44&lt;0,AK45&gt;=0,AJ45&gt;0),W45-1-AK44/AJ45,"")</f>
        <v/>
      </c>
      <c r="AT45" s="70">
        <f t="shared" si="21"/>
        <v>0.26119931865433682</v>
      </c>
      <c r="AU45" s="70">
        <f t="shared" si="22"/>
        <v>0.20693368069433485</v>
      </c>
    </row>
    <row r="46" spans="1:47" ht="15.75" customHeight="1" x14ac:dyDescent="0.3">
      <c r="A46" s="1"/>
      <c r="B46" s="95" t="s">
        <v>196</v>
      </c>
      <c r="C46" s="88"/>
      <c r="D46" s="88"/>
      <c r="E46" s="95"/>
      <c r="F46" s="30">
        <f>F36/F37*100</f>
        <v>20.693368069433486</v>
      </c>
      <c r="G46" s="18" t="s">
        <v>90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2"/>
      <c r="V46" s="12"/>
      <c r="W46" s="56">
        <v>16</v>
      </c>
      <c r="X46" s="62">
        <f t="shared" si="3"/>
        <v>72.426788243017199</v>
      </c>
      <c r="Y46" s="62">
        <f t="shared" si="4"/>
        <v>3.5</v>
      </c>
      <c r="Z46" s="62">
        <f t="shared" si="5"/>
        <v>68.926788243017199</v>
      </c>
      <c r="AA46" s="62">
        <f t="shared" si="6"/>
        <v>23.435108002625849</v>
      </c>
      <c r="AB46" s="62">
        <f t="shared" si="7"/>
        <v>45.491680240391347</v>
      </c>
      <c r="AC46" s="62">
        <f t="shared" si="8"/>
        <v>3.5</v>
      </c>
      <c r="AD46" s="62">
        <f t="shared" si="9"/>
        <v>3.5</v>
      </c>
      <c r="AE46" s="62">
        <f t="shared" si="10"/>
        <v>0</v>
      </c>
      <c r="AF46" s="62">
        <f>0</f>
        <v>0</v>
      </c>
      <c r="AG46" s="62">
        <f t="shared" si="11"/>
        <v>0</v>
      </c>
      <c r="AH46" s="62">
        <f t="shared" si="12"/>
        <v>45.491680240391347</v>
      </c>
      <c r="AI46" s="62">
        <f t="shared" si="13"/>
        <v>411.10148133061591</v>
      </c>
      <c r="AJ46" s="62">
        <f t="shared" si="14"/>
        <v>9.9003150563581457</v>
      </c>
      <c r="AK46" s="62">
        <f t="shared" si="15"/>
        <v>-15.856030183596452</v>
      </c>
      <c r="AL46" s="62">
        <f t="shared" si="23"/>
        <v>28.000000000000032</v>
      </c>
      <c r="AM46" s="62">
        <f t="shared" si="16"/>
        <v>28.000000000000032</v>
      </c>
      <c r="AN46" s="62">
        <f t="shared" si="17"/>
        <v>104.24540251564578</v>
      </c>
      <c r="AO46" s="62">
        <f t="shared" si="18"/>
        <v>104.24540251564578</v>
      </c>
      <c r="AP46" s="61">
        <f t="shared" si="19"/>
        <v>0.43639027854071244</v>
      </c>
      <c r="AQ46" s="61">
        <f t="shared" si="20"/>
        <v>0.66119739172835224</v>
      </c>
      <c r="AR46" s="63" t="str">
        <f>IF(AND(COUNT($AR$30:AR45)=0,AI45&lt;0,AI46&gt;=0,AH46&gt;0),W46-1-AI45/AH46,"")</f>
        <v/>
      </c>
      <c r="AS46" s="63" t="str">
        <f>IF(AND(COUNT($AS$30:AS45)=0,AK45&lt;0,AK46&gt;=0,AJ46&gt;0),W46-1-AK45/AJ46,"")</f>
        <v/>
      </c>
      <c r="AT46" s="61">
        <f t="shared" si="21"/>
        <v>0.43639027854071244</v>
      </c>
      <c r="AU46" s="61">
        <f t="shared" si="22"/>
        <v>0.20693368069433485</v>
      </c>
    </row>
    <row r="47" spans="1:47" ht="15.75" customHeight="1" x14ac:dyDescent="0.3">
      <c r="A47" s="1"/>
      <c r="B47" s="98" t="s">
        <v>100</v>
      </c>
      <c r="C47" s="88"/>
      <c r="D47" s="88"/>
      <c r="E47" s="98"/>
      <c r="F47" s="47">
        <v>34</v>
      </c>
      <c r="G47" s="26" t="s">
        <v>90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2"/>
      <c r="V47" s="12"/>
      <c r="W47" s="68">
        <v>17</v>
      </c>
      <c r="X47" s="69">
        <f t="shared" si="3"/>
        <v>72.426788243017199</v>
      </c>
      <c r="Y47" s="69">
        <f t="shared" si="4"/>
        <v>3.5</v>
      </c>
      <c r="Z47" s="69">
        <f t="shared" si="5"/>
        <v>68.926788243017199</v>
      </c>
      <c r="AA47" s="69">
        <f t="shared" si="6"/>
        <v>23.435108002625849</v>
      </c>
      <c r="AB47" s="69">
        <f t="shared" si="7"/>
        <v>45.491680240391347</v>
      </c>
      <c r="AC47" s="69">
        <f t="shared" si="8"/>
        <v>3.5</v>
      </c>
      <c r="AD47" s="69">
        <f t="shared" si="9"/>
        <v>3.5</v>
      </c>
      <c r="AE47" s="69">
        <f t="shared" si="10"/>
        <v>0</v>
      </c>
      <c r="AF47" s="69">
        <f>0</f>
        <v>0</v>
      </c>
      <c r="AG47" s="69">
        <f t="shared" si="11"/>
        <v>0</v>
      </c>
      <c r="AH47" s="69">
        <f t="shared" si="12"/>
        <v>45.491680240391347</v>
      </c>
      <c r="AI47" s="69">
        <f t="shared" si="13"/>
        <v>456.59316157100727</v>
      </c>
      <c r="AJ47" s="69">
        <f t="shared" si="14"/>
        <v>9.0002864148710415</v>
      </c>
      <c r="AK47" s="69">
        <f t="shared" si="15"/>
        <v>-6.8557437687254108</v>
      </c>
      <c r="AL47" s="69">
        <f t="shared" si="23"/>
        <v>28.000000000000032</v>
      </c>
      <c r="AM47" s="69">
        <f t="shared" si="16"/>
        <v>28.000000000000032</v>
      </c>
      <c r="AN47" s="69">
        <f t="shared" si="17"/>
        <v>104.24540251564578</v>
      </c>
      <c r="AO47" s="69">
        <f t="shared" si="18"/>
        <v>104.24540251564578</v>
      </c>
      <c r="AP47" s="70">
        <f t="shared" si="19"/>
        <v>0.43639027854071244</v>
      </c>
      <c r="AQ47" s="70">
        <f t="shared" si="20"/>
        <v>0.66119739172835224</v>
      </c>
      <c r="AR47" s="71" t="str">
        <f>IF(AND(COUNT($AR$30:AR46)=0,AI46&lt;0,AI47&gt;=0,AH47&gt;0),W47-1-AI46/AH47,"")</f>
        <v/>
      </c>
      <c r="AS47" s="71" t="str">
        <f>IF(AND(COUNT($AS$30:AS46)=0,AK46&lt;0,AK47&gt;=0,AJ47&gt;0),W47-1-AK46/AJ47,"")</f>
        <v/>
      </c>
      <c r="AT47" s="70">
        <f t="shared" si="21"/>
        <v>0.43639027854071244</v>
      </c>
      <c r="AU47" s="70">
        <f t="shared" si="22"/>
        <v>0.20693368069433485</v>
      </c>
    </row>
    <row r="48" spans="1:47" ht="15.75" customHeight="1" x14ac:dyDescent="0.3">
      <c r="A48" s="1"/>
      <c r="B48" s="95" t="s">
        <v>197</v>
      </c>
      <c r="C48" s="88"/>
      <c r="D48" s="88"/>
      <c r="E48" s="95"/>
      <c r="F48" s="74">
        <f>AA22*100</f>
        <v>7.7827153041256523</v>
      </c>
      <c r="G48" s="18" t="s">
        <v>90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2"/>
      <c r="V48" s="12"/>
      <c r="W48" s="56">
        <v>18</v>
      </c>
      <c r="X48" s="62">
        <f t="shared" si="3"/>
        <v>72.426788243017199</v>
      </c>
      <c r="Y48" s="62">
        <f t="shared" si="4"/>
        <v>3.5</v>
      </c>
      <c r="Z48" s="62">
        <f t="shared" si="5"/>
        <v>68.926788243017199</v>
      </c>
      <c r="AA48" s="62">
        <f t="shared" si="6"/>
        <v>23.435108002625849</v>
      </c>
      <c r="AB48" s="62">
        <f t="shared" si="7"/>
        <v>45.491680240391347</v>
      </c>
      <c r="AC48" s="62">
        <f t="shared" si="8"/>
        <v>3.5</v>
      </c>
      <c r="AD48" s="62">
        <f t="shared" si="9"/>
        <v>3.5</v>
      </c>
      <c r="AE48" s="62">
        <f t="shared" si="10"/>
        <v>0</v>
      </c>
      <c r="AF48" s="62">
        <f>0</f>
        <v>0</v>
      </c>
      <c r="AG48" s="62">
        <f t="shared" si="11"/>
        <v>0</v>
      </c>
      <c r="AH48" s="62">
        <f t="shared" si="12"/>
        <v>45.491680240391347</v>
      </c>
      <c r="AI48" s="62">
        <f t="shared" si="13"/>
        <v>502.08484181139863</v>
      </c>
      <c r="AJ48" s="62">
        <f t="shared" si="14"/>
        <v>8.1820785589736733</v>
      </c>
      <c r="AK48" s="62">
        <f t="shared" si="15"/>
        <v>1.3263347902482625</v>
      </c>
      <c r="AL48" s="62">
        <f t="shared" si="23"/>
        <v>28.000000000000032</v>
      </c>
      <c r="AM48" s="62">
        <f t="shared" si="16"/>
        <v>28.000000000000032</v>
      </c>
      <c r="AN48" s="62">
        <f t="shared" si="17"/>
        <v>104.24540251564578</v>
      </c>
      <c r="AO48" s="62">
        <f t="shared" si="18"/>
        <v>104.24540251564578</v>
      </c>
      <c r="AP48" s="61">
        <f t="shared" si="19"/>
        <v>0.43639027854071244</v>
      </c>
      <c r="AQ48" s="61">
        <f t="shared" si="20"/>
        <v>0.66119739172835224</v>
      </c>
      <c r="AR48" s="63" t="str">
        <f>IF(AND(COUNT($AR$30:AR47)=0,AI47&lt;0,AI48&gt;=0,AH48&gt;0),W48-1-AI47/AH48,"")</f>
        <v/>
      </c>
      <c r="AS48" s="63">
        <f>IF(AND(COUNT($AS$30:AS47)=0,AK47&lt;0,AK48&gt;=0,AJ48&gt;0),W48-1-AK47/AJ48,"")</f>
        <v>17.837897573252508</v>
      </c>
      <c r="AT48" s="61">
        <f t="shared" si="21"/>
        <v>0.43639027854071244</v>
      </c>
      <c r="AU48" s="61">
        <f t="shared" si="22"/>
        <v>0.20693368069433485</v>
      </c>
    </row>
    <row r="49" spans="1:47" ht="15.75" customHeight="1" x14ac:dyDescent="0.3">
      <c r="A49" s="1"/>
      <c r="B49" s="95" t="s">
        <v>185</v>
      </c>
      <c r="C49" s="88"/>
      <c r="D49" s="88"/>
      <c r="E49" s="95"/>
      <c r="F49" s="30">
        <f>'Etanol Milho'!AA16</f>
        <v>26.860029671611528</v>
      </c>
      <c r="G49" s="18" t="s">
        <v>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2"/>
      <c r="V49" s="12"/>
      <c r="W49" s="68">
        <v>19</v>
      </c>
      <c r="X49" s="69">
        <f t="shared" si="3"/>
        <v>72.426788243017199</v>
      </c>
      <c r="Y49" s="69">
        <f t="shared" si="4"/>
        <v>3.5</v>
      </c>
      <c r="Z49" s="69">
        <f t="shared" si="5"/>
        <v>68.926788243017199</v>
      </c>
      <c r="AA49" s="69">
        <f t="shared" si="6"/>
        <v>23.435108002625849</v>
      </c>
      <c r="AB49" s="69">
        <f t="shared" si="7"/>
        <v>45.491680240391347</v>
      </c>
      <c r="AC49" s="69">
        <f t="shared" si="8"/>
        <v>3.5</v>
      </c>
      <c r="AD49" s="69">
        <f t="shared" si="9"/>
        <v>3.5</v>
      </c>
      <c r="AE49" s="69">
        <f t="shared" si="10"/>
        <v>0</v>
      </c>
      <c r="AF49" s="69">
        <f>0</f>
        <v>0</v>
      </c>
      <c r="AG49" s="69">
        <f t="shared" si="11"/>
        <v>0</v>
      </c>
      <c r="AH49" s="69">
        <f t="shared" si="12"/>
        <v>45.491680240391347</v>
      </c>
      <c r="AI49" s="69">
        <f t="shared" si="13"/>
        <v>547.57652205178999</v>
      </c>
      <c r="AJ49" s="69">
        <f t="shared" si="14"/>
        <v>7.4382532354306106</v>
      </c>
      <c r="AK49" s="69">
        <f t="shared" si="15"/>
        <v>8.7645880256788722</v>
      </c>
      <c r="AL49" s="69">
        <f t="shared" si="23"/>
        <v>28.000000000000032</v>
      </c>
      <c r="AM49" s="69">
        <f t="shared" si="16"/>
        <v>28.000000000000032</v>
      </c>
      <c r="AN49" s="69">
        <f t="shared" si="17"/>
        <v>104.24540251564578</v>
      </c>
      <c r="AO49" s="69">
        <f t="shared" si="18"/>
        <v>104.24540251564578</v>
      </c>
      <c r="AP49" s="70">
        <f t="shared" si="19"/>
        <v>0.43639027854071244</v>
      </c>
      <c r="AQ49" s="70">
        <f t="shared" si="20"/>
        <v>0.66119739172835224</v>
      </c>
      <c r="AR49" s="71" t="str">
        <f>IF(AND(COUNT($AR$30:AR48)=0,AI48&lt;0,AI49&gt;=0,AH49&gt;0),W49-1-AI48/AH49,"")</f>
        <v/>
      </c>
      <c r="AS49" s="71" t="str">
        <f>IF(AND(COUNT($AS$30:AS48)=0,AK48&lt;0,AK49&gt;=0,AJ49&gt;0),W49-1-AK48/AJ49,"")</f>
        <v/>
      </c>
      <c r="AT49" s="70">
        <f t="shared" si="21"/>
        <v>0.43639027854071244</v>
      </c>
      <c r="AU49" s="70">
        <f t="shared" si="22"/>
        <v>0.20693368069433485</v>
      </c>
    </row>
    <row r="50" spans="1:47" ht="15.75" customHeight="1" x14ac:dyDescent="0.3">
      <c r="A50" s="1"/>
      <c r="B50" s="107" t="s">
        <v>198</v>
      </c>
      <c r="C50" s="108"/>
      <c r="D50" s="108"/>
      <c r="E50" s="107"/>
      <c r="F50" s="109">
        <f>AA5+AA10</f>
        <v>426.24540251564576</v>
      </c>
      <c r="G50" s="114" t="s">
        <v>216</v>
      </c>
      <c r="H50" s="11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2"/>
      <c r="V50" s="12"/>
      <c r="W50" s="56">
        <v>20</v>
      </c>
      <c r="X50" s="62">
        <f t="shared" si="3"/>
        <v>72.426788243017199</v>
      </c>
      <c r="Y50" s="62">
        <f t="shared" si="4"/>
        <v>3.5</v>
      </c>
      <c r="Z50" s="62">
        <f t="shared" si="5"/>
        <v>68.926788243017199</v>
      </c>
      <c r="AA50" s="62">
        <f t="shared" si="6"/>
        <v>23.435108002625849</v>
      </c>
      <c r="AB50" s="62">
        <f t="shared" si="7"/>
        <v>45.491680240391347</v>
      </c>
      <c r="AC50" s="62">
        <f t="shared" si="8"/>
        <v>3.5</v>
      </c>
      <c r="AD50" s="62">
        <f t="shared" si="9"/>
        <v>3.5</v>
      </c>
      <c r="AE50" s="62">
        <f t="shared" si="10"/>
        <v>-76.24540251564575</v>
      </c>
      <c r="AF50" s="62">
        <f>0</f>
        <v>0</v>
      </c>
      <c r="AG50" s="62">
        <f t="shared" si="11"/>
        <v>0</v>
      </c>
      <c r="AH50" s="62">
        <f t="shared" si="12"/>
        <v>121.7370827560371</v>
      </c>
      <c r="AI50" s="62">
        <f t="shared" si="13"/>
        <v>669.31360480782712</v>
      </c>
      <c r="AJ50" s="62">
        <f t="shared" si="14"/>
        <v>18.095441645932752</v>
      </c>
      <c r="AK50" s="62">
        <f t="shared" si="15"/>
        <v>26.860029671611624</v>
      </c>
      <c r="AL50" s="62">
        <f t="shared" si="23"/>
        <v>28.000000000000032</v>
      </c>
      <c r="AM50" s="62">
        <f t="shared" si="16"/>
        <v>28.000000000000032</v>
      </c>
      <c r="AN50" s="62">
        <f t="shared" si="17"/>
        <v>104.24540251564578</v>
      </c>
      <c r="AO50" s="62">
        <f t="shared" si="18"/>
        <v>104.24540251564578</v>
      </c>
      <c r="AP50" s="61">
        <f t="shared" si="19"/>
        <v>0.43639027854071244</v>
      </c>
      <c r="AQ50" s="61">
        <f t="shared" si="20"/>
        <v>0.66119739172835224</v>
      </c>
      <c r="AR50" s="63" t="str">
        <f>IF(AND(COUNT($AR$30:AR49)=0,AI49&lt;0,AI50&gt;=0,AH50&gt;0),W50-1-AI49/AH50,"")</f>
        <v/>
      </c>
      <c r="AS50" s="63" t="str">
        <f>IF(AND(COUNT($AS$30:AS49)=0,AK49&lt;0,AK50&gt;=0,AJ50&gt;0),W50-1-AK49/AJ50,"")</f>
        <v/>
      </c>
      <c r="AT50" s="61">
        <f t="shared" si="21"/>
        <v>0.43639027854071244</v>
      </c>
      <c r="AU50" s="61">
        <f t="shared" si="22"/>
        <v>0.20693368069433485</v>
      </c>
    </row>
    <row r="51" spans="1:47" ht="15.75" customHeight="1" x14ac:dyDescent="0.3">
      <c r="A51" s="1"/>
      <c r="B51" s="107" t="s">
        <v>199</v>
      </c>
      <c r="C51" s="108"/>
      <c r="D51" s="108"/>
      <c r="E51" s="107"/>
      <c r="F51" s="109">
        <f>(AA15-AA9)*100</f>
        <v>0.8909222555295665</v>
      </c>
      <c r="G51" s="111" t="s">
        <v>200</v>
      </c>
      <c r="H51" s="11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2"/>
      <c r="V51" s="12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</row>
    <row r="52" spans="1:47" ht="15.75" customHeight="1" x14ac:dyDescent="0.3">
      <c r="A52" s="1"/>
      <c r="B52" s="113" t="s">
        <v>201</v>
      </c>
      <c r="C52" s="113"/>
      <c r="D52" s="113"/>
      <c r="E52" s="113"/>
      <c r="F52" s="109">
        <f>AA81</f>
        <v>67.666293462481718</v>
      </c>
      <c r="G52" s="114" t="s">
        <v>5</v>
      </c>
      <c r="H52" s="11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2"/>
      <c r="V52" s="12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</row>
    <row r="53" spans="1:47" ht="15.75" customHeight="1" x14ac:dyDescent="0.3">
      <c r="A53" s="1"/>
      <c r="B53" s="107" t="s">
        <v>202</v>
      </c>
      <c r="C53" s="108"/>
      <c r="D53" s="108"/>
      <c r="E53" s="107"/>
      <c r="F53" s="109">
        <f>AA82</f>
        <v>4.7604947805354811</v>
      </c>
      <c r="G53" s="114" t="s">
        <v>5</v>
      </c>
      <c r="H53" s="11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2"/>
      <c r="V53" s="12"/>
      <c r="W53" s="84" t="s">
        <v>155</v>
      </c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</row>
    <row r="54" spans="1:47" ht="15.75" customHeight="1" x14ac:dyDescent="0.3">
      <c r="A54" s="1"/>
      <c r="B54" s="107" t="s">
        <v>203</v>
      </c>
      <c r="C54" s="108"/>
      <c r="D54" s="108"/>
      <c r="E54" s="107"/>
      <c r="F54" s="109">
        <f>AA83*100</f>
        <v>6.5728370621134777</v>
      </c>
      <c r="G54" s="110" t="s">
        <v>90</v>
      </c>
      <c r="H54" s="10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2"/>
      <c r="V54" s="12"/>
      <c r="W54" s="81" t="s">
        <v>156</v>
      </c>
      <c r="X54" s="81"/>
      <c r="Y54" s="81"/>
      <c r="Z54" s="81"/>
      <c r="AA54" s="57">
        <f>SUM('Etanol Milho'!M19:M22)</f>
        <v>713.84599501602179</v>
      </c>
      <c r="AB54" s="82" t="s">
        <v>204</v>
      </c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</row>
    <row r="55" spans="1:47" ht="15.75" customHeight="1" x14ac:dyDescent="0.3">
      <c r="A55" s="1"/>
      <c r="B55" s="107" t="s">
        <v>205</v>
      </c>
      <c r="C55" s="108"/>
      <c r="D55" s="108"/>
      <c r="E55" s="107"/>
      <c r="F55" s="109">
        <f>F36/AA54*100</f>
        <v>10.145996300139167</v>
      </c>
      <c r="G55" s="110" t="s">
        <v>90</v>
      </c>
      <c r="H55" s="10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2"/>
      <c r="V55" s="12"/>
      <c r="W55" s="81" t="s">
        <v>157</v>
      </c>
      <c r="X55" s="81"/>
      <c r="Y55" s="81"/>
      <c r="Z55" s="81"/>
      <c r="AA55" s="57">
        <f>AA54-AA6</f>
        <v>641.41920677300459</v>
      </c>
      <c r="AB55" s="80" t="s">
        <v>158</v>
      </c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</row>
    <row r="56" spans="1:47" ht="15.75" customHeight="1" x14ac:dyDescent="0.3">
      <c r="A56" s="1"/>
      <c r="B56" s="107" t="s">
        <v>206</v>
      </c>
      <c r="C56" s="108"/>
      <c r="D56" s="108"/>
      <c r="E56" s="107"/>
      <c r="F56" s="109">
        <f>AA20*100</f>
        <v>7.7827153041256523</v>
      </c>
      <c r="G56" s="110" t="s">
        <v>90</v>
      </c>
      <c r="H56" s="10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2"/>
      <c r="V56" s="12"/>
      <c r="W56" s="81" t="s">
        <v>159</v>
      </c>
      <c r="X56" s="81"/>
      <c r="Y56" s="81"/>
      <c r="Z56" s="81"/>
      <c r="AA56" s="57">
        <f>'Etanol Milho'!M18</f>
        <v>515.81920000000002</v>
      </c>
      <c r="AB56" s="80" t="s">
        <v>160</v>
      </c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</row>
    <row r="57" spans="1:47" ht="15.75" customHeight="1" x14ac:dyDescent="0.3">
      <c r="A57" s="1"/>
      <c r="B57" s="107" t="s">
        <v>207</v>
      </c>
      <c r="C57" s="108"/>
      <c r="D57" s="108"/>
      <c r="E57" s="107"/>
      <c r="F57" s="109">
        <f>AA21*100</f>
        <v>11.791992885038866</v>
      </c>
      <c r="G57" s="110" t="s">
        <v>90</v>
      </c>
      <c r="H57" s="10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2"/>
      <c r="V57" s="12"/>
      <c r="W57" s="81" t="s">
        <v>161</v>
      </c>
      <c r="X57" s="81"/>
      <c r="Y57" s="81"/>
      <c r="Z57" s="81"/>
      <c r="AA57" s="59">
        <v>30</v>
      </c>
      <c r="AB57" s="80" t="s">
        <v>162</v>
      </c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</row>
    <row r="58" spans="1:47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2"/>
      <c r="V58" s="12"/>
      <c r="W58" s="81" t="s">
        <v>163</v>
      </c>
      <c r="X58" s="81"/>
      <c r="Y58" s="81"/>
      <c r="Z58" s="81"/>
      <c r="AA58" s="59">
        <v>10</v>
      </c>
      <c r="AB58" s="80" t="s">
        <v>164</v>
      </c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</row>
    <row r="59" spans="1:47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2"/>
      <c r="V59" s="12"/>
      <c r="W59" s="81" t="s">
        <v>165</v>
      </c>
      <c r="X59" s="81"/>
      <c r="Y59" s="81"/>
      <c r="Z59" s="81"/>
      <c r="AA59" s="59">
        <v>30</v>
      </c>
      <c r="AB59" s="80" t="s">
        <v>166</v>
      </c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</row>
    <row r="60" spans="1:47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2"/>
      <c r="V60" s="12"/>
      <c r="W60" s="81" t="s">
        <v>167</v>
      </c>
      <c r="X60" s="81"/>
      <c r="Y60" s="81"/>
      <c r="Z60" s="81"/>
      <c r="AA60" s="59">
        <v>30</v>
      </c>
      <c r="AB60" s="80" t="s">
        <v>168</v>
      </c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</row>
    <row r="61" spans="1:47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2"/>
      <c r="V61" s="12"/>
      <c r="W61" s="81" t="s">
        <v>169</v>
      </c>
      <c r="X61" s="81"/>
      <c r="Y61" s="81"/>
      <c r="Z61" s="81"/>
      <c r="AA61" s="57">
        <f>AA56/365*AA57</f>
        <v>42.39609863013699</v>
      </c>
      <c r="AB61" s="80" t="s">
        <v>170</v>
      </c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</row>
    <row r="62" spans="1:47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2"/>
      <c r="V62" s="12"/>
      <c r="W62" s="81" t="s">
        <v>171</v>
      </c>
      <c r="X62" s="81"/>
      <c r="Y62" s="81"/>
      <c r="Z62" s="81"/>
      <c r="AA62" s="57">
        <f>AA55/365*AA58</f>
        <v>17.573128952685057</v>
      </c>
      <c r="AB62" s="80" t="s">
        <v>172</v>
      </c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</row>
    <row r="63" spans="1:47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2"/>
      <c r="V63" s="12"/>
      <c r="W63" s="81" t="s">
        <v>173</v>
      </c>
      <c r="X63" s="81"/>
      <c r="Y63" s="81"/>
      <c r="Z63" s="81"/>
      <c r="AA63" s="57">
        <f>AA54/365*AA59</f>
        <v>58.672273562960697</v>
      </c>
      <c r="AB63" s="80" t="s">
        <v>174</v>
      </c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</row>
    <row r="64" spans="1:47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2"/>
      <c r="V64" s="12"/>
      <c r="W64" s="81" t="s">
        <v>111</v>
      </c>
      <c r="X64" s="81"/>
      <c r="Y64" s="81"/>
      <c r="Z64" s="81"/>
      <c r="AA64" s="57">
        <f>MAX(AA61+AA62+AA63-AA65,0)</f>
        <v>76.24540251564575</v>
      </c>
      <c r="AB64" s="80" t="s">
        <v>175</v>
      </c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</row>
    <row r="65" spans="1:47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2"/>
      <c r="V65" s="12"/>
      <c r="W65" s="81" t="s">
        <v>176</v>
      </c>
      <c r="X65" s="81"/>
      <c r="Y65" s="81"/>
      <c r="Z65" s="81"/>
      <c r="AA65" s="57">
        <f>AA56/365*AA60</f>
        <v>42.39609863013699</v>
      </c>
      <c r="AB65" s="80" t="s">
        <v>177</v>
      </c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</row>
    <row r="66" spans="1:47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2"/>
      <c r="V66" s="12"/>
      <c r="W66" s="3" t="s">
        <v>178</v>
      </c>
      <c r="X66" s="3"/>
      <c r="Y66" s="3"/>
      <c r="Z66" s="3"/>
      <c r="AA66" s="60">
        <v>0.01</v>
      </c>
      <c r="AB66" s="1" t="s">
        <v>179</v>
      </c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</row>
    <row r="67" spans="1:47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2"/>
      <c r="V67" s="12"/>
      <c r="W67" s="56"/>
      <c r="X67" s="56"/>
      <c r="Y67" s="56"/>
      <c r="Z67" s="56"/>
      <c r="AA67" s="56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</row>
    <row r="68" spans="1:47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2"/>
      <c r="V68" s="12"/>
      <c r="W68" s="81" t="s">
        <v>180</v>
      </c>
      <c r="X68" s="81"/>
      <c r="Y68" s="81"/>
      <c r="Z68" s="81"/>
      <c r="AA68" s="81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</row>
    <row r="69" spans="1:47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2"/>
      <c r="V69" s="12"/>
      <c r="W69" s="81" t="s">
        <v>181</v>
      </c>
      <c r="X69" s="81"/>
      <c r="Y69" s="81"/>
      <c r="Z69" s="81"/>
      <c r="AA69" s="81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</row>
    <row r="70" spans="1:47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2"/>
      <c r="V70" s="12"/>
      <c r="W70" s="81" t="s">
        <v>182</v>
      </c>
      <c r="X70" s="81"/>
      <c r="Y70" s="81"/>
      <c r="Z70" s="81"/>
      <c r="AA70" s="81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</row>
    <row r="71" spans="1:47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2"/>
      <c r="V71" s="12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</row>
    <row r="72" spans="1:47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" t="s">
        <v>183</v>
      </c>
      <c r="X72" s="3"/>
      <c r="Y72" s="3"/>
      <c r="Z72" s="3"/>
      <c r="AA72" s="56" t="s">
        <v>184</v>
      </c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</row>
    <row r="73" spans="1:47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>
        <v>0.08</v>
      </c>
      <c r="X73" s="2"/>
      <c r="Y73" s="2"/>
      <c r="Z73" s="2"/>
      <c r="AA73" s="57">
        <f>NPV(W73,AH31:AH50)+AH30</f>
        <v>98.275281619339808</v>
      </c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</row>
    <row r="74" spans="1:47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>
        <v>0.1</v>
      </c>
      <c r="X74" s="2"/>
      <c r="Y74" s="2"/>
      <c r="Z74" s="2"/>
      <c r="AA74" s="57">
        <f>NPV(W74,AH31:AH50)+AH30</f>
        <v>26.860029671611528</v>
      </c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</row>
    <row r="75" spans="1:47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>
        <v>0.12</v>
      </c>
      <c r="X75" s="2"/>
      <c r="Y75" s="2"/>
      <c r="Z75" s="2"/>
      <c r="AA75" s="57">
        <f>NPV(W75,AH31:AH50)+AH30</f>
        <v>-29.924817546353381</v>
      </c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</row>
    <row r="76" spans="1:47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>
        <v>0.15</v>
      </c>
      <c r="X76" s="2"/>
      <c r="Y76" s="2"/>
      <c r="Z76" s="2"/>
      <c r="AA76" s="57">
        <f>NPV(W76,AH31:AH50)+AH30</f>
        <v>-95.290869375617888</v>
      </c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</row>
    <row r="77" spans="1:47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</row>
    <row r="78" spans="1:47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</row>
    <row r="79" spans="1:47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01" t="s">
        <v>208</v>
      </c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</row>
    <row r="80" spans="1:47" ht="31.9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02" t="s">
        <v>209</v>
      </c>
      <c r="X80" s="90"/>
      <c r="Y80" s="90"/>
      <c r="Z80" s="90"/>
      <c r="AA80" s="78">
        <f>IF(AA9=0,20*(1-AA7),(1-AA7)*(1-(1+AA9)^-20)/AA9)+AA58/365*(1-(1+AA9)^-20)</f>
        <v>5.6422768871495794</v>
      </c>
    </row>
    <row r="81" spans="1:47" ht="31.9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02" t="s">
        <v>210</v>
      </c>
      <c r="X81" s="90"/>
      <c r="Y81" s="90"/>
      <c r="Z81" s="90"/>
      <c r="AA81" s="78">
        <f>IF(AA80&gt;0,IF(AND(AA6-AA16/AA80&gt;=MAX(Y31:Y50),AA10+AA16/AA80*AA58/365&gt;0),AA6-AA16/AA80,"Requer simulação"),"Requer simulação")</f>
        <v>67.666293462481718</v>
      </c>
    </row>
    <row r="82" spans="1:47" ht="31.9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02" t="s">
        <v>211</v>
      </c>
      <c r="X82" s="90"/>
      <c r="Y82" s="90"/>
      <c r="Z82" s="90"/>
      <c r="AA82" s="78">
        <f>IF(ISNUMBER(AA81),AA6-AA81,"Requer simulação")</f>
        <v>4.7604947805354811</v>
      </c>
    </row>
    <row r="83" spans="1:47" ht="31.9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02" t="s">
        <v>212</v>
      </c>
      <c r="X83" s="90"/>
      <c r="Y83" s="90"/>
      <c r="Z83" s="90"/>
      <c r="AA83" s="79">
        <f>IF(AND(ISNUMBER(AA82),AA6&gt;0),AA82/AA6,"Requer simulação")</f>
        <v>6.5728370621134777E-2</v>
      </c>
    </row>
    <row r="84" spans="1:47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2"/>
      <c r="X84" s="1"/>
      <c r="Y84" s="1"/>
      <c r="Z84" s="48"/>
      <c r="AA84" s="48"/>
      <c r="AB84" s="48"/>
      <c r="AC84" s="48"/>
      <c r="AE84" s="48"/>
    </row>
    <row r="85" spans="1:47" ht="31.9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03" t="s">
        <v>213</v>
      </c>
      <c r="X85" s="88"/>
      <c r="Y85" s="88"/>
      <c r="Z85" s="104"/>
      <c r="AA85" s="104"/>
      <c r="AB85" s="104"/>
      <c r="AC85" s="104"/>
      <c r="AD85" s="90"/>
      <c r="AE85" s="104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</row>
    <row r="86" spans="1:47" ht="31.9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03" t="s">
        <v>214</v>
      </c>
      <c r="X86" s="88"/>
      <c r="Y86" s="88"/>
      <c r="Z86" s="104"/>
      <c r="AA86" s="104"/>
      <c r="AB86" s="104"/>
      <c r="AC86" s="104"/>
      <c r="AD86" s="90"/>
      <c r="AE86" s="104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</row>
    <row r="87" spans="1:47" ht="31.9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03" t="s">
        <v>215</v>
      </c>
      <c r="X87" s="88"/>
      <c r="Y87" s="88"/>
      <c r="Z87" s="104"/>
      <c r="AA87" s="104"/>
      <c r="AB87" s="104"/>
      <c r="AC87" s="104"/>
      <c r="AD87" s="90"/>
      <c r="AE87" s="104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</row>
    <row r="88" spans="1:47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2"/>
      <c r="X88" s="1"/>
      <c r="Y88" s="1"/>
      <c r="Z88" s="48"/>
      <c r="AA88" s="48"/>
      <c r="AB88" s="48"/>
      <c r="AC88" s="48"/>
      <c r="AE88" s="48"/>
    </row>
    <row r="89" spans="1:47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2"/>
      <c r="X89" s="1"/>
      <c r="Y89" s="1"/>
      <c r="Z89" s="48"/>
      <c r="AA89" s="48"/>
      <c r="AB89" s="48"/>
      <c r="AC89" s="48"/>
      <c r="AE89" s="48"/>
    </row>
    <row r="90" spans="1:47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2"/>
      <c r="X90" s="1"/>
      <c r="Y90" s="1"/>
      <c r="Z90" s="48"/>
      <c r="AA90" s="48"/>
      <c r="AB90" s="48"/>
      <c r="AC90" s="48"/>
      <c r="AE90" s="48"/>
    </row>
    <row r="91" spans="1:47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2"/>
      <c r="X91" s="1"/>
      <c r="Y91" s="1"/>
      <c r="Z91" s="48"/>
      <c r="AA91" s="48"/>
      <c r="AB91" s="48"/>
      <c r="AC91" s="48"/>
      <c r="AE91" s="48"/>
    </row>
    <row r="92" spans="1:47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2"/>
      <c r="X92" s="1"/>
      <c r="Y92" s="1"/>
      <c r="Z92" s="48"/>
      <c r="AA92" s="48"/>
      <c r="AB92" s="48"/>
      <c r="AC92" s="48"/>
      <c r="AE92" s="48"/>
    </row>
    <row r="93" spans="1:47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2"/>
      <c r="X93" s="1"/>
      <c r="Y93" s="1"/>
      <c r="Z93" s="48"/>
      <c r="AA93" s="48"/>
      <c r="AB93" s="48"/>
      <c r="AC93" s="48"/>
      <c r="AE93" s="48"/>
    </row>
    <row r="94" spans="1:47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2"/>
      <c r="X94" s="1"/>
      <c r="Y94" s="1"/>
      <c r="Z94" s="48"/>
      <c r="AA94" s="48"/>
      <c r="AB94" s="48"/>
      <c r="AC94" s="48"/>
      <c r="AE94" s="48"/>
    </row>
    <row r="95" spans="1:47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2"/>
      <c r="X95" s="1"/>
      <c r="Y95" s="1"/>
      <c r="Z95" s="48"/>
      <c r="AA95" s="48"/>
      <c r="AB95" s="48"/>
      <c r="AC95" s="48"/>
      <c r="AE95" s="48"/>
    </row>
    <row r="96" spans="1:47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2"/>
      <c r="X96" s="1"/>
      <c r="Y96" s="1"/>
      <c r="Z96" s="48"/>
      <c r="AA96" s="48"/>
      <c r="AB96" s="48"/>
      <c r="AC96" s="48"/>
      <c r="AE96" s="48"/>
    </row>
    <row r="97" spans="1:31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2"/>
      <c r="X97" s="1"/>
      <c r="Y97" s="1"/>
      <c r="Z97" s="48"/>
      <c r="AA97" s="48"/>
      <c r="AB97" s="48"/>
      <c r="AC97" s="48"/>
      <c r="AE97" s="48"/>
    </row>
    <row r="98" spans="1:31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2"/>
      <c r="X98" s="1"/>
      <c r="Y98" s="1"/>
      <c r="Z98" s="48"/>
      <c r="AA98" s="48"/>
      <c r="AB98" s="48"/>
      <c r="AC98" s="48"/>
      <c r="AE98" s="48"/>
    </row>
    <row r="99" spans="1:31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2"/>
      <c r="X99" s="1"/>
      <c r="Y99" s="1"/>
      <c r="Z99" s="49"/>
      <c r="AA99" s="50"/>
    </row>
    <row r="100" spans="1:31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2"/>
      <c r="X100" s="1"/>
      <c r="Y100" s="1"/>
      <c r="Z100" s="49"/>
      <c r="AA100" s="50"/>
    </row>
    <row r="101" spans="1:31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V101" s="1"/>
      <c r="W101" s="12"/>
      <c r="X101" s="1"/>
      <c r="Y101" s="1"/>
      <c r="Z101" s="49"/>
      <c r="AA101" s="50"/>
    </row>
    <row r="102" spans="1:31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V102" s="1"/>
      <c r="W102" s="12"/>
      <c r="X102" s="1"/>
      <c r="Y102" s="1"/>
      <c r="Z102" s="49"/>
      <c r="AA102" s="50"/>
    </row>
    <row r="103" spans="1:31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V103" s="1"/>
      <c r="W103" s="12"/>
      <c r="X103" s="1"/>
      <c r="Y103" s="1"/>
      <c r="Z103" s="49"/>
      <c r="AA103" s="50"/>
    </row>
    <row r="104" spans="1:31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V104" s="1"/>
      <c r="W104" s="12"/>
      <c r="X104" s="1"/>
      <c r="Y104" s="1"/>
      <c r="Z104" s="49"/>
      <c r="AA104" s="50"/>
    </row>
    <row r="105" spans="1:31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V105" s="1"/>
      <c r="W105" s="12"/>
      <c r="X105" s="1"/>
      <c r="Y105" s="1"/>
      <c r="Z105" s="49"/>
      <c r="AA105" s="50"/>
    </row>
    <row r="106" spans="1:31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V106" s="1"/>
      <c r="W106" s="12"/>
      <c r="X106" s="1"/>
      <c r="Y106" s="1"/>
      <c r="Z106" s="49"/>
      <c r="AA106" s="50"/>
    </row>
    <row r="107" spans="1:31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V107" s="1"/>
      <c r="W107" s="12"/>
      <c r="X107" s="1"/>
      <c r="Y107" s="1"/>
      <c r="Z107" s="49"/>
      <c r="AA107" s="50"/>
    </row>
    <row r="108" spans="1:31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V108" s="1"/>
      <c r="W108" s="12"/>
      <c r="X108" s="1"/>
      <c r="Y108" s="1"/>
      <c r="Z108" s="49"/>
      <c r="AA108" s="50"/>
    </row>
    <row r="109" spans="1:31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V109" s="1"/>
      <c r="W109" s="12"/>
      <c r="X109" s="1"/>
      <c r="Y109" s="1"/>
      <c r="Z109" s="49"/>
      <c r="AA109" s="50"/>
    </row>
    <row r="110" spans="1:31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V110" s="1"/>
      <c r="W110" s="12"/>
      <c r="X110" s="1"/>
      <c r="Y110" s="1"/>
      <c r="Z110" s="49"/>
      <c r="AA110" s="50"/>
    </row>
    <row r="111" spans="1:31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V111" s="1"/>
      <c r="W111" s="12"/>
      <c r="X111" s="1"/>
      <c r="Y111" s="1"/>
      <c r="Z111" s="49"/>
      <c r="AA111" s="50"/>
    </row>
    <row r="112" spans="1:31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V112" s="1"/>
      <c r="W112" s="12"/>
      <c r="X112" s="1"/>
      <c r="Y112" s="1"/>
      <c r="Z112" s="49"/>
      <c r="AA112" s="50"/>
    </row>
    <row r="113" spans="1:27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V113" s="1"/>
      <c r="W113" s="12"/>
      <c r="X113" s="1"/>
      <c r="Y113" s="1"/>
      <c r="Z113" s="49"/>
      <c r="AA113" s="50"/>
    </row>
    <row r="114" spans="1:27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V114" s="1"/>
      <c r="W114" s="12"/>
      <c r="X114" s="1"/>
      <c r="Y114" s="1"/>
      <c r="Z114" s="49"/>
      <c r="AA114" s="50"/>
    </row>
    <row r="115" spans="1:27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V115" s="1"/>
      <c r="W115" s="12"/>
      <c r="X115" s="1"/>
      <c r="Y115" s="1"/>
      <c r="Z115" s="49"/>
      <c r="AA115" s="50"/>
    </row>
    <row r="116" spans="1:27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V116" s="1"/>
      <c r="W116" s="12"/>
      <c r="X116" s="1"/>
      <c r="Y116" s="1"/>
      <c r="Z116" s="49"/>
      <c r="AA116" s="50"/>
    </row>
    <row r="117" spans="1:27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2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2"/>
      <c r="W118" s="1"/>
      <c r="X118" s="1"/>
      <c r="Y118" s="1"/>
      <c r="Z118" s="1"/>
    </row>
    <row r="119" spans="1:27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2"/>
      <c r="W119" s="1"/>
      <c r="X119" s="1"/>
      <c r="Y119" s="1"/>
      <c r="Z119" s="1"/>
    </row>
    <row r="120" spans="1:27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2"/>
      <c r="W120" s="1"/>
      <c r="X120" s="1"/>
      <c r="Y120" s="1"/>
      <c r="Z120" s="1"/>
    </row>
    <row r="121" spans="1:27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2"/>
      <c r="W121" s="1"/>
      <c r="X121" s="1"/>
      <c r="Y121" s="1"/>
      <c r="Z121" s="1"/>
    </row>
    <row r="122" spans="1:27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2"/>
      <c r="W122" s="1"/>
      <c r="X122" s="1"/>
      <c r="Y122" s="1"/>
      <c r="Z122" s="1"/>
    </row>
    <row r="123" spans="1:27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2"/>
      <c r="W123" s="1"/>
      <c r="X123" s="1"/>
      <c r="Y123" s="1"/>
      <c r="Z123" s="1"/>
    </row>
    <row r="124" spans="1:27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2"/>
      <c r="W124" s="1"/>
      <c r="X124" s="1"/>
      <c r="Y124" s="1"/>
      <c r="Z124" s="1"/>
    </row>
    <row r="125" spans="1:27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2"/>
      <c r="W125" s="1"/>
      <c r="X125" s="1"/>
      <c r="Y125" s="1"/>
      <c r="Z125" s="1"/>
    </row>
    <row r="126" spans="1:27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2"/>
      <c r="W126" s="1"/>
      <c r="X126" s="1"/>
      <c r="Y126" s="1"/>
      <c r="Z126" s="1"/>
    </row>
    <row r="127" spans="1:27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2"/>
      <c r="W127" s="1"/>
      <c r="X127" s="1"/>
      <c r="Y127" s="1"/>
      <c r="Z127" s="1"/>
    </row>
    <row r="128" spans="1:27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2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2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2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2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2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2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2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2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2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2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1">
    <mergeCell ref="W83:Z83"/>
    <mergeCell ref="W85:AU85"/>
    <mergeCell ref="W86:AU86"/>
    <mergeCell ref="W87:AU87"/>
    <mergeCell ref="A36:E36"/>
    <mergeCell ref="G51:H51"/>
    <mergeCell ref="G52:H52"/>
    <mergeCell ref="G53:H53"/>
    <mergeCell ref="G50:H50"/>
    <mergeCell ref="B55:E55"/>
    <mergeCell ref="B56:E56"/>
    <mergeCell ref="B57:E57"/>
    <mergeCell ref="G39:T39"/>
    <mergeCell ref="G40:T40"/>
    <mergeCell ref="W79:AU79"/>
    <mergeCell ref="W80:Z80"/>
    <mergeCell ref="W81:Z81"/>
    <mergeCell ref="W82:Z82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31:E31"/>
    <mergeCell ref="O12:O13"/>
    <mergeCell ref="F12:F13"/>
    <mergeCell ref="G12:G13"/>
    <mergeCell ref="L12:L13"/>
    <mergeCell ref="M12:M13"/>
    <mergeCell ref="N12:N13"/>
    <mergeCell ref="B35:E35"/>
    <mergeCell ref="W6:Z6"/>
    <mergeCell ref="AB6:AI6"/>
    <mergeCell ref="W7:Z7"/>
    <mergeCell ref="AB7:AI7"/>
    <mergeCell ref="W8:Z8"/>
    <mergeCell ref="AB8:AI8"/>
    <mergeCell ref="W1:AU1"/>
    <mergeCell ref="W2:AU2"/>
    <mergeCell ref="W3:AU3"/>
    <mergeCell ref="W5:Z5"/>
    <mergeCell ref="AB5:AI5"/>
    <mergeCell ref="W12:Z12"/>
    <mergeCell ref="AB12:AI12"/>
    <mergeCell ref="W15:Z15"/>
    <mergeCell ref="W16:Z16"/>
    <mergeCell ref="W17:Z17"/>
    <mergeCell ref="AC15:AU17"/>
    <mergeCell ref="W9:Z9"/>
    <mergeCell ref="AB9:AI9"/>
    <mergeCell ref="W10:Z10"/>
    <mergeCell ref="AB10:AI10"/>
    <mergeCell ref="W11:Z11"/>
    <mergeCell ref="AB11:AI11"/>
    <mergeCell ref="AC19:AU22"/>
    <mergeCell ref="W24:AU24"/>
    <mergeCell ref="W25:AU25"/>
    <mergeCell ref="W26:AU26"/>
    <mergeCell ref="W53:AU53"/>
    <mergeCell ref="W18:Z18"/>
    <mergeCell ref="W19:Z19"/>
    <mergeCell ref="W20:Z20"/>
    <mergeCell ref="W21:Z21"/>
    <mergeCell ref="W22:Z22"/>
    <mergeCell ref="W57:Z57"/>
    <mergeCell ref="AB57:AU57"/>
    <mergeCell ref="W58:Z58"/>
    <mergeCell ref="AB58:AU58"/>
    <mergeCell ref="W59:Z59"/>
    <mergeCell ref="AB59:AU59"/>
    <mergeCell ref="W54:Z54"/>
    <mergeCell ref="AB54:AU54"/>
    <mergeCell ref="W55:Z55"/>
    <mergeCell ref="AB55:AU55"/>
    <mergeCell ref="W56:Z56"/>
    <mergeCell ref="AB56:AU56"/>
    <mergeCell ref="W63:Z63"/>
    <mergeCell ref="AB63:AU63"/>
    <mergeCell ref="W64:Z64"/>
    <mergeCell ref="AB64:AU64"/>
    <mergeCell ref="W65:Z65"/>
    <mergeCell ref="AB65:AU65"/>
    <mergeCell ref="W60:Z60"/>
    <mergeCell ref="AB60:AU60"/>
    <mergeCell ref="W61:Z61"/>
    <mergeCell ref="AB61:AU61"/>
    <mergeCell ref="W62:Z62"/>
    <mergeCell ref="AB62:AU62"/>
    <mergeCell ref="W72:Z72"/>
    <mergeCell ref="W73:Z73"/>
    <mergeCell ref="W74:Z74"/>
    <mergeCell ref="W75:Z75"/>
    <mergeCell ref="W76:Z76"/>
    <mergeCell ref="W66:Z66"/>
    <mergeCell ref="AB66:AU66"/>
    <mergeCell ref="W68:AU68"/>
    <mergeCell ref="W69:AU69"/>
    <mergeCell ref="W70:AU70"/>
  </mergeCells>
  <dataValidations count="2">
    <dataValidation type="whole" sqref="AA57:AA60" xr:uid="{00000000-0002-0000-0400-000001000000}">
      <formula1>0</formula1>
      <formula2>365</formula2>
    </dataValidation>
    <dataValidation type="whole" sqref="AA8" xr:uid="{00000000-0002-0000-0400-000000000000}">
      <formula1>1</formula1>
      <formula2>40</formula2>
    </dataValidation>
  </dataValidation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FB04-03C3-455C-9DE1-BA464EF88BBE}">
  <dimension ref="B4:J15"/>
  <sheetViews>
    <sheetView workbookViewId="0">
      <selection activeCell="G13" sqref="G13"/>
    </sheetView>
  </sheetViews>
  <sheetFormatPr defaultColWidth="9.109375" defaultRowHeight="14.4" x14ac:dyDescent="0.3"/>
  <cols>
    <col min="1" max="1" width="9.109375" style="33"/>
    <col min="2" max="2" width="22" style="33" bestFit="1" customWidth="1"/>
    <col min="3" max="3" width="15.44140625" style="33" bestFit="1" customWidth="1"/>
    <col min="4" max="4" width="9.88671875" style="33" bestFit="1" customWidth="1"/>
    <col min="5" max="5" width="11.109375" style="33" bestFit="1" customWidth="1"/>
    <col min="6" max="6" width="22" style="33" bestFit="1" customWidth="1"/>
    <col min="7" max="7" width="15.44140625" style="33" bestFit="1" customWidth="1"/>
    <col min="8" max="9" width="9.109375" style="33"/>
    <col min="10" max="11" width="10.109375" style="33" bestFit="1" customWidth="1"/>
    <col min="12" max="16384" width="9.109375" style="33"/>
  </cols>
  <sheetData>
    <row r="4" spans="2:10" x14ac:dyDescent="0.3">
      <c r="C4" s="33" t="s">
        <v>74</v>
      </c>
      <c r="G4" s="33" t="s">
        <v>32</v>
      </c>
    </row>
    <row r="5" spans="2:10" x14ac:dyDescent="0.3">
      <c r="C5" s="33" t="e">
        <f>#REF!</f>
        <v>#REF!</v>
      </c>
      <c r="D5" s="35" t="s">
        <v>59</v>
      </c>
      <c r="G5" s="33">
        <f>+'Etanol Milho'!J18*'Etanol Milho'!D17</f>
        <v>1083.3333333333333</v>
      </c>
      <c r="H5" s="35" t="s">
        <v>59</v>
      </c>
    </row>
    <row r="6" spans="2:10" x14ac:dyDescent="0.3">
      <c r="C6" s="33" t="e">
        <f>#REF!</f>
        <v>#REF!</v>
      </c>
      <c r="D6" s="35" t="s">
        <v>75</v>
      </c>
      <c r="G6" s="33">
        <f>'Etanol Milho'!F2</f>
        <v>2380704</v>
      </c>
      <c r="H6" s="35" t="s">
        <v>75</v>
      </c>
    </row>
    <row r="7" spans="2:10" x14ac:dyDescent="0.3">
      <c r="B7" s="34" t="s">
        <v>81</v>
      </c>
      <c r="C7" s="33" t="e">
        <f>C6*C5</f>
        <v>#REF!</v>
      </c>
      <c r="D7" s="35" t="s">
        <v>76</v>
      </c>
      <c r="F7" s="34" t="s">
        <v>32</v>
      </c>
      <c r="G7" s="33">
        <f>G6*G5</f>
        <v>2579096000</v>
      </c>
      <c r="H7" s="35" t="s">
        <v>76</v>
      </c>
    </row>
    <row r="8" spans="2:10" x14ac:dyDescent="0.3">
      <c r="B8" s="34" t="s">
        <v>77</v>
      </c>
      <c r="C8" s="33" t="e">
        <f>#REF!*#REF!*1000000</f>
        <v>#REF!</v>
      </c>
      <c r="D8" s="35" t="s">
        <v>76</v>
      </c>
      <c r="F8" s="34" t="s">
        <v>77</v>
      </c>
      <c r="G8" s="33" t="e">
        <f>'Etanol Milho'!F20*#REF!*1000000</f>
        <v>#REF!</v>
      </c>
      <c r="H8" s="35" t="s">
        <v>76</v>
      </c>
    </row>
    <row r="10" spans="2:10" x14ac:dyDescent="0.3">
      <c r="B10" s="34" t="s">
        <v>78</v>
      </c>
      <c r="C10" s="33" t="e">
        <f>C8+C7</f>
        <v>#REF!</v>
      </c>
      <c r="D10" s="35" t="s">
        <v>76</v>
      </c>
      <c r="F10" s="34" t="s">
        <v>78</v>
      </c>
      <c r="G10" s="33" t="e">
        <f>G8+G7</f>
        <v>#REF!</v>
      </c>
      <c r="H10" s="35" t="s">
        <v>76</v>
      </c>
      <c r="J10" s="36"/>
    </row>
    <row r="11" spans="2:10" x14ac:dyDescent="0.3">
      <c r="B11" s="34" t="s">
        <v>83</v>
      </c>
      <c r="C11" s="33" t="e">
        <f>(#REF!+#REF!)*#REF!*1000000</f>
        <v>#REF!</v>
      </c>
      <c r="D11" s="35" t="s">
        <v>76</v>
      </c>
      <c r="F11" s="34" t="s">
        <v>83</v>
      </c>
      <c r="G11" s="33" t="e">
        <f>('Etanol Milho'!M20+'Etanol Milho'!M21+'Etanol Milho'!M19+'Etanol Milho'!M22)*#REF!*1000000</f>
        <v>#REF!</v>
      </c>
      <c r="H11" s="35" t="s">
        <v>76</v>
      </c>
      <c r="J11" s="36"/>
    </row>
    <row r="13" spans="2:10" x14ac:dyDescent="0.3">
      <c r="C13" s="33" t="e">
        <f>C11-C10</f>
        <v>#REF!</v>
      </c>
      <c r="D13" s="35" t="s">
        <v>76</v>
      </c>
      <c r="G13" s="33" t="e">
        <f>G11-G10</f>
        <v>#REF!</v>
      </c>
      <c r="H13" s="35" t="s">
        <v>76</v>
      </c>
      <c r="J13" s="37"/>
    </row>
    <row r="15" spans="2:10" x14ac:dyDescent="0.3">
      <c r="C15" s="36" t="e">
        <f>C13/(#REF!*1000000)</f>
        <v>#REF!</v>
      </c>
      <c r="D15" s="35" t="s">
        <v>80</v>
      </c>
      <c r="G15" s="36" t="e">
        <f>G13/(#REF!*1000000)</f>
        <v>#REF!</v>
      </c>
      <c r="H15" s="35" t="s">
        <v>79</v>
      </c>
      <c r="J15" s="37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4.44140625" defaultRowHeight="15" customHeight="1" x14ac:dyDescent="0.3"/>
  <cols>
    <col min="1" max="2" width="11.44140625" customWidth="1"/>
    <col min="3" max="3" width="7.5546875" customWidth="1"/>
    <col min="4" max="4" width="3.88671875" customWidth="1"/>
    <col min="5" max="5" width="6.109375" customWidth="1"/>
    <col min="6" max="6" width="11.44140625" customWidth="1"/>
    <col min="7" max="7" width="9.109375" customWidth="1"/>
    <col min="8" max="8" width="7.5546875" customWidth="1"/>
    <col min="9" max="10" width="11.44140625" customWidth="1"/>
    <col min="11" max="11" width="18" customWidth="1"/>
    <col min="12" max="12" width="7.5546875" customWidth="1"/>
    <col min="13" max="13" width="4" customWidth="1"/>
    <col min="14" max="14" width="6.109375" customWidth="1"/>
    <col min="15" max="15" width="11.44140625" customWidth="1"/>
    <col min="16" max="16" width="19.109375" customWidth="1"/>
    <col min="17" max="17" width="7.5546875" customWidth="1"/>
    <col min="18" max="18" width="4" customWidth="1"/>
    <col min="19" max="19" width="6.109375" customWidth="1"/>
    <col min="20" max="26" width="11.44140625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/>
      <c r="C2" s="3">
        <v>353000</v>
      </c>
      <c r="D2" s="23" t="s">
        <v>26</v>
      </c>
      <c r="E2" s="32">
        <f>+E5</f>
        <v>0.15</v>
      </c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60</v>
      </c>
      <c r="Q2" s="3">
        <v>15000</v>
      </c>
      <c r="R2" s="23" t="s">
        <v>26</v>
      </c>
      <c r="S2" s="32">
        <v>0.7</v>
      </c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 t="s">
        <v>61</v>
      </c>
      <c r="Q3" s="3">
        <v>5000</v>
      </c>
      <c r="R3" s="23" t="s">
        <v>26</v>
      </c>
      <c r="S3" s="32">
        <v>0.65</v>
      </c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1"/>
      <c r="E4" s="1"/>
      <c r="F4" s="1"/>
      <c r="G4" s="1"/>
      <c r="H4" s="1"/>
      <c r="I4" s="1"/>
      <c r="J4" s="1"/>
      <c r="K4" s="1" t="s">
        <v>62</v>
      </c>
      <c r="L4" s="3">
        <v>145000</v>
      </c>
      <c r="M4" s="23" t="s">
        <v>26</v>
      </c>
      <c r="N4" s="32">
        <f>(+Q2*S2+Q3*S3+Q4*S4+Q5*S5)/L4</f>
        <v>0.80172413793103448</v>
      </c>
      <c r="O4" s="23"/>
      <c r="P4" s="1" t="s">
        <v>11</v>
      </c>
      <c r="Q4" s="3">
        <v>120000</v>
      </c>
      <c r="R4" s="23" t="s">
        <v>26</v>
      </c>
      <c r="S4" s="32">
        <v>0.82</v>
      </c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1"/>
      <c r="C5" s="2"/>
      <c r="D5" s="2" t="s">
        <v>63</v>
      </c>
      <c r="E5" s="13">
        <v>0.15</v>
      </c>
      <c r="F5" s="1"/>
      <c r="G5" s="1"/>
      <c r="H5" s="1"/>
      <c r="I5" s="1"/>
      <c r="J5" s="1"/>
      <c r="K5" s="1"/>
      <c r="L5" s="1"/>
      <c r="M5" s="1"/>
      <c r="N5" s="1"/>
      <c r="O5" s="1"/>
      <c r="P5" s="1" t="s">
        <v>64</v>
      </c>
      <c r="Q5" s="6">
        <f>+L4-Q4-Q3-Q2</f>
        <v>5000</v>
      </c>
      <c r="R5" s="1" t="s">
        <v>26</v>
      </c>
      <c r="S5" s="13">
        <v>0.82</v>
      </c>
      <c r="T5" s="1"/>
      <c r="U5" s="1"/>
      <c r="V5" s="1"/>
      <c r="W5" s="1"/>
      <c r="X5" s="1"/>
      <c r="Y5" s="1"/>
      <c r="Z5" s="1"/>
    </row>
    <row r="6" spans="1:26" ht="14.4" x14ac:dyDescent="0.3">
      <c r="A6" s="1"/>
      <c r="B6" s="1"/>
      <c r="C6" s="2"/>
      <c r="D6" s="2" t="s">
        <v>65</v>
      </c>
      <c r="E6" s="13">
        <f>70%*(1-$E$5)</f>
        <v>0.59499999999999997</v>
      </c>
      <c r="F6" s="1"/>
      <c r="G6" s="1"/>
      <c r="H6" s="6">
        <f>+E6*C2</f>
        <v>210035</v>
      </c>
      <c r="I6" s="18" t="s">
        <v>21</v>
      </c>
      <c r="J6" s="1"/>
      <c r="K6" s="1"/>
      <c r="L6" s="1"/>
      <c r="M6" s="1"/>
      <c r="N6" s="1"/>
      <c r="O6" s="1"/>
      <c r="P6" s="1"/>
      <c r="Q6" s="6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1"/>
      <c r="B7" s="1"/>
      <c r="C7" s="2"/>
      <c r="D7" s="2" t="s">
        <v>66</v>
      </c>
      <c r="E7" s="13">
        <f>11.5%*(1-$E$5)</f>
        <v>9.7750000000000004E-2</v>
      </c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67</v>
      </c>
      <c r="Q7" s="3">
        <v>4300</v>
      </c>
      <c r="R7" s="23" t="s">
        <v>26</v>
      </c>
      <c r="S7" s="32">
        <v>0.88</v>
      </c>
      <c r="T7" s="1"/>
      <c r="U7" s="1"/>
      <c r="V7" s="1"/>
      <c r="W7" s="1"/>
      <c r="X7" s="1"/>
      <c r="Y7" s="1"/>
      <c r="Z7" s="1"/>
    </row>
    <row r="8" spans="1:26" ht="14.4" x14ac:dyDescent="0.3">
      <c r="A8" s="1"/>
      <c r="B8" s="1"/>
      <c r="C8" s="2"/>
      <c r="D8" s="2" t="s">
        <v>68</v>
      </c>
      <c r="E8" s="13">
        <f>8.3%*(1-$E$5)</f>
        <v>7.0550000000000002E-2</v>
      </c>
      <c r="F8" s="1"/>
      <c r="G8" s="1"/>
      <c r="H8" s="1"/>
      <c r="I8" s="1"/>
      <c r="J8" s="1"/>
      <c r="K8" s="1" t="s">
        <v>69</v>
      </c>
      <c r="L8" s="6">
        <f>(H6-+L4*N4)/N8</f>
        <v>106573.86363636363</v>
      </c>
      <c r="M8" s="1" t="s">
        <v>26</v>
      </c>
      <c r="N8" s="13">
        <v>0.88</v>
      </c>
      <c r="O8" s="1"/>
      <c r="P8" s="1"/>
      <c r="Q8" s="6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"/>
      <c r="B9" s="1"/>
      <c r="C9" s="2"/>
      <c r="D9" s="2" t="s">
        <v>70</v>
      </c>
      <c r="E9" s="13">
        <f>3.2%*(1-$E$5)</f>
        <v>2.7199999999999998E-2</v>
      </c>
      <c r="F9" s="1"/>
      <c r="G9" s="1"/>
      <c r="H9" s="1"/>
      <c r="I9" s="1"/>
      <c r="J9" s="1"/>
      <c r="K9" s="1"/>
      <c r="L9" s="1"/>
      <c r="M9" s="1"/>
      <c r="N9" s="1"/>
      <c r="O9" s="1"/>
      <c r="P9" s="1" t="s">
        <v>71</v>
      </c>
      <c r="Q9" s="6">
        <f>+L8-Q7</f>
        <v>102273.86363636363</v>
      </c>
      <c r="R9" s="1" t="s">
        <v>26</v>
      </c>
      <c r="S9" s="13">
        <v>0.88</v>
      </c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1"/>
      <c r="C10" s="2"/>
      <c r="D10" s="2" t="s">
        <v>72</v>
      </c>
      <c r="E10" s="13">
        <f>5.5%*(1-$E$5)</f>
        <v>4.675E-2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"/>
      <c r="B11" s="1"/>
      <c r="C11" s="2"/>
      <c r="D11" s="2" t="s">
        <v>73</v>
      </c>
      <c r="E11" s="13">
        <f>100%-SUM(E5:E10)</f>
        <v>1.2750000000000039E-2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0"/>
  <sheetViews>
    <sheetView workbookViewId="0"/>
  </sheetViews>
  <sheetFormatPr defaultColWidth="14.44140625" defaultRowHeight="15" customHeight="1" x14ac:dyDescent="0.3"/>
  <cols>
    <col min="1" max="26" width="11.441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Etanol Milho</vt:lpstr>
      <vt:lpstr>Planilha1</vt:lpstr>
      <vt:lpstr>Etanol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 Producción</dc:creator>
  <cp:lastModifiedBy>Ricardo Xavier de Oliveira</cp:lastModifiedBy>
  <dcterms:created xsi:type="dcterms:W3CDTF">2021-08-03T17:17:40Z</dcterms:created>
  <dcterms:modified xsi:type="dcterms:W3CDTF">2026-10-18T01:11:00Z</dcterms:modified>
</cp:coreProperties>
</file>